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ютий" sheetId="1" r:id="rId1"/>
    <sheet name="січень 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<sst xmlns="http://schemas.openxmlformats.org/spreadsheetml/2006/main" count="398" uniqueCount="198">
  <si>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</si>
  <si>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</si>
  <si>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</si>
  <si>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</si>
  <si>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</si>
  <si>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</si>
  <si>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</si>
  <si>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</si>
  <si>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</si>
  <si>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</si>
  <si>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</si>
  <si>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</si>
  <si>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</si>
  <si>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</si>
  <si>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</si>
  <si>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</si>
  <si>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</si>
  <si>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</si>
  <si>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</si>
  <si>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</si>
  <si>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</si>
  <si>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</si>
  <si>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</si>
  <si>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</si>
  <si>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</si>
  <si>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</si>
  <si>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</si>
  <si>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</si>
  <si>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</si>
  <si>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</si>
  <si>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</si>
  <si>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</si>
  <si>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</si>
  <si>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</si>
  <si>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</si>
  <si>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</si>
  <si>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</si>
  <si>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</si>
  <si>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</si>
  <si>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</si>
  <si>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</si>
  <si>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</si>
  <si>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</si>
  <si>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</si>
  <si>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</si>
  <si>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</si>
  <si>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</si>
  <si>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</si>
  <si>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</si>
  <si>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</si>
  <si>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</si>
  <si>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</si>
  <si>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</si>
  <si>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</si>
  <si>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</si>
  <si>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</si>
  <si>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</si>
  <si>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</si>
  <si>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</si>
  <si>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</si>
  <si>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</si>
  <si>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</si>
  <si>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</si>
  <si>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</si>
  <si>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</si>
  <si>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</si>
  <si>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</si>
  <si>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</si>
  <si>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</si>
  <si>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</si>
  <si>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</si>
  <si>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</si>
  <si>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</si>
  <si>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</si>
  <si>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</si>
  <si>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</si>
  <si>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</si>
  <si>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</si>
  <si>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</si>
  <si>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</si>
  <si>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</si>
  <si>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</si>
  <si>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</si>
  <si>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</si>
  <si>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</si>
  <si>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</si>
  <si>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</si>
  <si>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</si>
  <si>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</si>
  <si>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</si>
  <si>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</si>
  <si>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</si>
  <si>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</si>
  <si>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</si>
  <si>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</si>
  <si>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</si>
  <si>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</si>
  <si>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</si>
  <si>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</si>
  <si>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</si>
  <si>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</si>
  <si>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</si>
  <si>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</si>
  <si>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</si>
  <si>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</si>
  <si>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</si>
  <si>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</si>
  <si>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</si>
  <si>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</si>
  <si>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</si>
  <si>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</si>
  <si>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</si>
  <si>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</si>
  <si>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</si>
  <si>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</si>
  <si>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</si>
  <si>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</si>
  <si>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</si>
  <si>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</si>
  <si>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</si>
  <si>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</si>
  <si>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</si>
  <si>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</si>
  <si>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</si>
  <si>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</si>
  <si>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</si>
  <si>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</si>
  <si>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</si>
  <si>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</si>
  <si>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</si>
  <si>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</si>
  <si>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</si>
  <si>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</si>
  <si>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</si>
  <si>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</si>
  <si>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</si>
  <si>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</si>
  <si>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</si>
  <si>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</si>
  <si>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</si>
  <si>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</si>
  <si>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</si>
  <si>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</si>
  <si>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</si>
  <si>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</si>
  <si>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</si>
  <si>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</si>
  <si>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</si>
  <si>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</si>
  <si>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</si>
  <si>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</si>
  <si>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</si>
  <si>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</si>
  <si>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</si>
  <si>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</si>
  <si>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</si>
  <si>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</si>
  <si>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</si>
  <si>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</si>
  <si>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</si>
  <si>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</si>
  <si>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</si>
  <si>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</si>
  <si>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</si>
  <si>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</si>
  <si>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</si>
  <si>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</si>
  <si>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</si>
  <si>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</si>
  <si>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</si>
  <si>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</si>
  <si>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</si>
  <si>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</si>
  <si>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</si>
  <si>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</si>
  <si>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</si>
  <si>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</si>
  <si>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</si>
  <si>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</si>
  <si>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</si>
  <si>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</si>
  <si>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</si>
  <si>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</si>
  <si>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</si>
  <si>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</si>
  <si>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</si>
  <si>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</si>
  <si>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</si>
  <si>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</si>
  <si>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</si>
  <si>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Тимчасовий план на І півріччя 2014 року </t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</si>
  <si>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</si>
  <si>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</si>
  <si>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</si>
  <si>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</si>
  <si>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План тимчасовий   на січень-лютий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</si>
  <si>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</si>
  <si>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17.02.14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</si>
</sst>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"/>
      <sheetName val="5250-сф"/>
      <sheetName val="очік-02"/>
      <sheetName val="депозит"/>
      <sheetName val="залишки  (2)"/>
      <sheetName val="надх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117393858.56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103568636.6</v>
          </cell>
        </row>
      </sheetData>
      <sheetData sheetId="17">
        <row r="28">
          <cell r="C28">
            <v>2476470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40" sqref="F14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45" t="s">
        <v>196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191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194</v>
      </c>
      <c r="N3" s="176" t="s">
        <v>188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195</v>
      </c>
      <c r="F4" s="160" t="s">
        <v>116</v>
      </c>
      <c r="G4" s="162" t="s">
        <v>167</v>
      </c>
      <c r="H4" s="164" t="s">
        <v>168</v>
      </c>
      <c r="I4" s="166" t="s">
        <v>192</v>
      </c>
      <c r="J4" s="172" t="s">
        <v>193</v>
      </c>
      <c r="K4" s="125" t="s">
        <v>174</v>
      </c>
      <c r="L4" s="132" t="s">
        <v>173</v>
      </c>
      <c r="M4" s="155"/>
      <c r="N4" s="174" t="s">
        <v>197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187</v>
      </c>
      <c r="L5" s="159"/>
      <c r="M5" s="155"/>
      <c r="N5" s="175"/>
      <c r="O5" s="167"/>
      <c r="P5" s="176"/>
      <c r="Q5" s="158" t="s">
        <v>182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</f>
        <v>70030</v>
      </c>
      <c r="F8" s="22">
        <f>F10+F19+F33+F56+F68+F30</f>
        <v>46908.78</v>
      </c>
      <c r="G8" s="22">
        <f aca="true" t="shared" si="0" ref="G8:G30">F8-E8</f>
        <v>-23121.22</v>
      </c>
      <c r="H8" s="51">
        <f>F8/E8*100</f>
        <v>66.98383549907182</v>
      </c>
      <c r="I8" s="36">
        <f aca="true" t="shared" si="1" ref="I8:I17">F8-D8</f>
        <v>-472420.52</v>
      </c>
      <c r="J8" s="36">
        <f aca="true" t="shared" si="2" ref="J8:J14">F8/D8*100</f>
        <v>9.03256950840247</v>
      </c>
      <c r="K8" s="36">
        <f>F8-72579.4</f>
        <v>-25670.619999999995</v>
      </c>
      <c r="L8" s="138">
        <f>F8/72579.4</f>
        <v>0.646309834470938</v>
      </c>
      <c r="M8" s="22">
        <f>M10+M19+M33+M56+M68+M30</f>
        <v>35825</v>
      </c>
      <c r="N8" s="22">
        <f>N10+N19+N33+N56+N68+N30</f>
        <v>13160.619999999997</v>
      </c>
      <c r="O8" s="36">
        <f aca="true" t="shared" si="3" ref="O8:O71">N8-M8</f>
        <v>-22664.380000000005</v>
      </c>
      <c r="P8" s="36">
        <f>F8/M8*100</f>
        <v>130.9386741102582</v>
      </c>
      <c r="Q8" s="36">
        <f>N8-38977.9</f>
        <v>-25817.280000000006</v>
      </c>
      <c r="R8" s="136">
        <f>N8/31977.9</f>
        <v>0.411553604207906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37963.42</v>
      </c>
      <c r="G9" s="22">
        <f t="shared" si="0"/>
        <v>37963.42</v>
      </c>
      <c r="H9" s="20"/>
      <c r="I9" s="56">
        <f t="shared" si="1"/>
        <v>-380402.78</v>
      </c>
      <c r="J9" s="56">
        <f t="shared" si="2"/>
        <v>9.074208193682951</v>
      </c>
      <c r="K9" s="56"/>
      <c r="L9" s="137"/>
      <c r="M9" s="20">
        <f>M10+M17</f>
        <v>28750</v>
      </c>
      <c r="N9" s="20">
        <f>N10+N17</f>
        <v>11395.309999999998</v>
      </c>
      <c r="O9" s="36">
        <f t="shared" si="3"/>
        <v>-17354.690000000002</v>
      </c>
      <c r="P9" s="56">
        <f>F9/M9*100</f>
        <v>132.04667826086956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55900</v>
      </c>
      <c r="F10" s="40">
        <v>37963.42</v>
      </c>
      <c r="G10" s="49">
        <f t="shared" si="0"/>
        <v>-17936.58</v>
      </c>
      <c r="H10" s="40">
        <f aca="true" t="shared" si="4" ref="H10:H17">F10/E10*100</f>
        <v>67.91309481216457</v>
      </c>
      <c r="I10" s="56">
        <f t="shared" si="1"/>
        <v>-380402.78</v>
      </c>
      <c r="J10" s="56">
        <f t="shared" si="2"/>
        <v>9.074208193682951</v>
      </c>
      <c r="K10" s="56">
        <f>F10-55122.8</f>
        <v>-17159.380000000005</v>
      </c>
      <c r="L10" s="137">
        <f>F10/55122.8</f>
        <v>0.6887063066462515</v>
      </c>
      <c r="M10" s="40">
        <f>E10-'січень '!E10</f>
        <v>28750</v>
      </c>
      <c r="N10" s="40">
        <f>F10-'січень '!F10</f>
        <v>11395.309999999998</v>
      </c>
      <c r="O10" s="53">
        <f t="shared" si="3"/>
        <v>-17354.690000000002</v>
      </c>
      <c r="P10" s="56">
        <f aca="true" t="shared" si="5" ref="P10:P17">N10/M10*100</f>
        <v>39.63586086956521</v>
      </c>
      <c r="Q10" s="143">
        <f>N10-28390.4</f>
        <v>-16995.090000000004</v>
      </c>
      <c r="R10" s="144">
        <f>N10/28390.4</f>
        <v>0.4013789872633002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200</v>
      </c>
      <c r="F19" s="40">
        <v>384.31</v>
      </c>
      <c r="G19" s="49">
        <f t="shared" si="0"/>
        <v>184.31</v>
      </c>
      <c r="H19" s="40">
        <f aca="true" t="shared" si="6" ref="H19:H28">F19/E19*100</f>
        <v>192.155</v>
      </c>
      <c r="I19" s="56">
        <f aca="true" t="shared" si="7" ref="I19:I29">F19-D19</f>
        <v>-5615.69</v>
      </c>
      <c r="J19" s="56">
        <f aca="true" t="shared" si="8" ref="J19:J29">F19/D19*100</f>
        <v>6.405166666666667</v>
      </c>
      <c r="K19" s="56">
        <f>F19-3876</f>
        <v>-3491.69</v>
      </c>
      <c r="L19" s="137">
        <f>F19/3876</f>
        <v>0.09915118679050568</v>
      </c>
      <c r="M19" s="40">
        <f>E19-'січень '!E19</f>
        <v>100</v>
      </c>
      <c r="N19" s="40">
        <f>F19-'січень '!F19</f>
        <v>25.5</v>
      </c>
      <c r="O19" s="53">
        <f t="shared" si="3"/>
        <v>-74.5</v>
      </c>
      <c r="P19" s="56">
        <f aca="true" t="shared" si="9" ref="P19:P28">N19/M19*100</f>
        <v>25.5</v>
      </c>
      <c r="Q19" s="56">
        <f>N19-3681.4</f>
        <v>-3655.9</v>
      </c>
      <c r="R19" s="137">
        <f>N19/3681.4</f>
        <v>0.006926712663660564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9">F20-194.7</f>
        <v>-194.7</v>
      </c>
      <c r="L20" s="137">
        <f aca="true" t="shared" si="11" ref="L20:L29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9">N20-3681.4</f>
        <v>-3681.4</v>
      </c>
      <c r="R20" s="137">
        <f aca="true" t="shared" si="13" ref="R20:R29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184</v>
      </c>
      <c r="C29" s="185">
        <v>11010232</v>
      </c>
      <c r="D29" s="186">
        <v>3000</v>
      </c>
      <c r="E29" s="41"/>
      <c r="F29" s="188">
        <v>384.09</v>
      </c>
      <c r="G29" s="49"/>
      <c r="H29" s="40"/>
      <c r="I29" s="56">
        <f t="shared" si="7"/>
        <v>-2615.91</v>
      </c>
      <c r="J29" s="56">
        <f t="shared" si="8"/>
        <v>12.803</v>
      </c>
      <c r="K29" s="190">
        <f>F29-322.6</f>
        <v>61.48999999999995</v>
      </c>
      <c r="L29" s="191">
        <f>F29/322.6</f>
        <v>1.190607563546187</v>
      </c>
      <c r="M29" s="188">
        <f>E29-'січень '!E29</f>
        <v>0</v>
      </c>
      <c r="N29" s="188">
        <f>F29-'січень '!F29</f>
        <v>25.299999999999955</v>
      </c>
      <c r="O29" s="190"/>
      <c r="P29" s="56"/>
      <c r="Q29" s="56">
        <f>N29-162.6</f>
        <v>-137.30000000000004</v>
      </c>
      <c r="R29" s="137">
        <f>N29/162.6</f>
        <v>0.15559655596555938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2.91</v>
      </c>
      <c r="G30" s="49">
        <f t="shared" si="0"/>
        <v>2.91</v>
      </c>
      <c r="H30" s="40"/>
      <c r="I30" s="56"/>
      <c r="J30" s="56"/>
      <c r="K30" s="56">
        <f>F30-25.1</f>
        <v>-22.19</v>
      </c>
      <c r="L30" s="137"/>
      <c r="M30" s="40">
        <f>E30-'січень '!E30</f>
        <v>0</v>
      </c>
      <c r="N30" s="40">
        <f>F30-'січень '!F30</f>
        <v>2.91</v>
      </c>
      <c r="O30" s="53">
        <f t="shared" si="3"/>
        <v>2.91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12800</v>
      </c>
      <c r="F33" s="40">
        <v>7516.5</v>
      </c>
      <c r="G33" s="49">
        <f aca="true" t="shared" si="14" ref="G33:G72">F33-E33</f>
        <v>-5283.5</v>
      </c>
      <c r="H33" s="40">
        <f aca="true" t="shared" si="15" ref="H33:H67">F33/E33*100</f>
        <v>58.72265625000001</v>
      </c>
      <c r="I33" s="56">
        <f>F33-D33</f>
        <v>-80549.5</v>
      </c>
      <c r="J33" s="56">
        <f aca="true" t="shared" si="16" ref="J33:J72">F33/D33*100</f>
        <v>8.53507596575296</v>
      </c>
      <c r="K33" s="56">
        <f>F33-12535.7</f>
        <v>-5019.200000000001</v>
      </c>
      <c r="L33" s="137">
        <f>F33/12535.7</f>
        <v>0.5996075209202517</v>
      </c>
      <c r="M33" s="40">
        <f>E33-'січень '!E33</f>
        <v>6400</v>
      </c>
      <c r="N33" s="40">
        <f>F33-'січень '!F33</f>
        <v>1223.21</v>
      </c>
      <c r="O33" s="53">
        <f t="shared" si="3"/>
        <v>-5176.79</v>
      </c>
      <c r="P33" s="56">
        <f aca="true" t="shared" si="17" ref="P33:P67">N33/M33*100</f>
        <v>19.11265625</v>
      </c>
      <c r="Q33" s="143">
        <f>N33-6362.9</f>
        <v>-5139.69</v>
      </c>
      <c r="R33" s="144">
        <f>N33/6362.9</f>
        <v>0.19224095931100602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137">
        <f aca="true" t="shared" si="20" ref="L34:L55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5">N34-6362.9</f>
        <v>-6362.9</v>
      </c>
      <c r="R34" s="144">
        <f aca="true" t="shared" si="22" ref="R34:R55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185</v>
      </c>
      <c r="C55" s="65"/>
      <c r="D55" s="186">
        <f>56066+10200</f>
        <v>66266</v>
      </c>
      <c r="E55" s="186">
        <v>9500</v>
      </c>
      <c r="F55" s="188">
        <v>5757.18</v>
      </c>
      <c r="G55" s="186">
        <f t="shared" si="14"/>
        <v>-3742.8199999999997</v>
      </c>
      <c r="H55" s="188">
        <f t="shared" si="15"/>
        <v>60.60189473684211</v>
      </c>
      <c r="I55" s="187">
        <f t="shared" si="18"/>
        <v>-60508.82</v>
      </c>
      <c r="J55" s="187">
        <f t="shared" si="16"/>
        <v>8.687984788579364</v>
      </c>
      <c r="K55" s="190">
        <f>F55-9287.5</f>
        <v>-3530.3199999999997</v>
      </c>
      <c r="L55" s="191">
        <f>F55/9287.5</f>
        <v>0.619884791386272</v>
      </c>
      <c r="M55" s="188">
        <f>E55-'січень '!E55</f>
        <v>4750</v>
      </c>
      <c r="N55" s="188">
        <f>F55-'січень '!F55</f>
        <v>1069.2700000000004</v>
      </c>
      <c r="O55" s="190">
        <f t="shared" si="3"/>
        <v>-3680.7299999999996</v>
      </c>
      <c r="P55" s="60">
        <f t="shared" si="17"/>
        <v>22.51094736842106</v>
      </c>
      <c r="Q55" s="143">
        <f>N55-4413.4</f>
        <v>-3344.129999999999</v>
      </c>
      <c r="R55" s="144">
        <f>N55/4413.4</f>
        <v>0.2422780622649206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1130</v>
      </c>
      <c r="F56" s="40">
        <v>1041.49</v>
      </c>
      <c r="G56" s="49">
        <f t="shared" si="14"/>
        <v>-88.50999999999999</v>
      </c>
      <c r="H56" s="40">
        <f t="shared" si="15"/>
        <v>92.16725663716814</v>
      </c>
      <c r="I56" s="56">
        <f t="shared" si="18"/>
        <v>-5818.51</v>
      </c>
      <c r="J56" s="56">
        <f t="shared" si="16"/>
        <v>15.182069970845479</v>
      </c>
      <c r="K56" s="56">
        <f>F56-1019.7</f>
        <v>21.789999999999964</v>
      </c>
      <c r="L56" s="137">
        <f>F56/1019.7</f>
        <v>1.021369030106894</v>
      </c>
      <c r="M56" s="40">
        <f>E56-'січень '!E56</f>
        <v>575</v>
      </c>
      <c r="N56" s="40">
        <f>F56-'січень '!F56</f>
        <v>513.69</v>
      </c>
      <c r="O56" s="53">
        <f t="shared" si="3"/>
        <v>-61.309999999999945</v>
      </c>
      <c r="P56" s="56">
        <f t="shared" si="17"/>
        <v>89.33739130434783</v>
      </c>
      <c r="Q56" s="56">
        <f>N56-518.3</f>
        <v>-4.6099999999999</v>
      </c>
      <c r="R56" s="137">
        <f>N56/518.3</f>
        <v>0.9911055373335907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>F58</f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>F59</f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>F60</f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>F61</f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>F62</f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>F63</f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>F64</f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>F65</f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>F66</f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>F67</f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14"/>
        <v>0.15</v>
      </c>
      <c r="H68" s="40"/>
      <c r="I68" s="56">
        <f t="shared" si="18"/>
        <v>0.04999999999999999</v>
      </c>
      <c r="J68" s="56">
        <f t="shared" si="16"/>
        <v>149.99999999999997</v>
      </c>
      <c r="K68" s="56">
        <f>F68-0.2</f>
        <v>-0.05000000000000002</v>
      </c>
      <c r="L68" s="137"/>
      <c r="M68" s="40">
        <f>E68-'січень '!E68</f>
        <v>0</v>
      </c>
      <c r="N68" s="40">
        <f>F68-'січень '!F68</f>
        <v>0</v>
      </c>
      <c r="O68" s="53">
        <f t="shared" si="3"/>
        <v>0</v>
      </c>
      <c r="P68" s="56"/>
      <c r="Q68" s="56">
        <f>N68-0.1</f>
        <v>-0.1</v>
      </c>
      <c r="R68" s="137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2512.1</v>
      </c>
      <c r="F74" s="22">
        <f>F77+F86+F88+F89+F94+F95+F96+F97+F99+F103+F87</f>
        <v>1871.5</v>
      </c>
      <c r="G74" s="50">
        <f aca="true" t="shared" si="23" ref="G74:G92">F74-E74</f>
        <v>-640.5999999999999</v>
      </c>
      <c r="H74" s="51">
        <f aca="true" t="shared" si="24" ref="H74:H86">F74/E74*100</f>
        <v>74.49942279367859</v>
      </c>
      <c r="I74" s="36">
        <f aca="true" t="shared" si="25" ref="I74:I92">F74-D74</f>
        <v>-15794.099999999999</v>
      </c>
      <c r="J74" s="36">
        <f aca="true" t="shared" si="26" ref="J74:J92">F74/D74*100</f>
        <v>10.594035866316458</v>
      </c>
      <c r="K74" s="36">
        <f>F74-2710.3</f>
        <v>-838.8000000000002</v>
      </c>
      <c r="L74" s="138">
        <f>F74/2710.3</f>
        <v>0.6905139652436999</v>
      </c>
      <c r="M74" s="22">
        <f>M77+M86+M88+M89+M94+M95+M96+M97+M99+M87</f>
        <v>1456</v>
      </c>
      <c r="N74" s="22">
        <f>N77+N86+N88+N89+N94+N95+N96+N97+N99+N32+N103+N87</f>
        <v>853.8699999999999</v>
      </c>
      <c r="O74" s="55">
        <f aca="true" t="shared" si="27" ref="O74:O92">N74-M74</f>
        <v>-602.1300000000001</v>
      </c>
      <c r="P74" s="36">
        <f>N74/M74*100</f>
        <v>58.64491758241758</v>
      </c>
      <c r="Q74" s="36">
        <f>N74-1790.3</f>
        <v>-936.4300000000001</v>
      </c>
      <c r="R74" s="138">
        <f>N74/1790.3</f>
        <v>0.476942411886276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3"/>
        <v>#REF!</v>
      </c>
      <c r="H75" s="40" t="e">
        <f t="shared" si="24"/>
        <v>#REF!</v>
      </c>
      <c r="I75" s="56" t="e">
        <f t="shared" si="25"/>
        <v>#REF!</v>
      </c>
      <c r="J75" s="56" t="e">
        <f t="shared" si="26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7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3"/>
        <v>0</v>
      </c>
      <c r="H76" s="40" t="e">
        <f t="shared" si="24"/>
        <v>#DIV/0!</v>
      </c>
      <c r="I76" s="56" t="e">
        <f t="shared" si="25"/>
        <v>#REF!</v>
      </c>
      <c r="J76" s="56" t="e">
        <f t="shared" si="26"/>
        <v>#REF!</v>
      </c>
      <c r="K76" s="56"/>
      <c r="L76" s="137"/>
      <c r="M76" s="59"/>
      <c r="N76" s="59"/>
      <c r="O76" s="53">
        <f t="shared" si="27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301</v>
      </c>
      <c r="F77" s="57">
        <v>0.02</v>
      </c>
      <c r="G77" s="49">
        <f t="shared" si="23"/>
        <v>-300.98</v>
      </c>
      <c r="H77" s="40">
        <f t="shared" si="24"/>
        <v>0.006644518272425249</v>
      </c>
      <c r="I77" s="56">
        <f t="shared" si="25"/>
        <v>-1699.98</v>
      </c>
      <c r="J77" s="56">
        <f t="shared" si="26"/>
        <v>0.0011764705882352942</v>
      </c>
      <c r="K77" s="56">
        <f>F77-1273.9</f>
        <v>-1273.88</v>
      </c>
      <c r="L77" s="137">
        <f>F77/1273.9</f>
        <v>1.56998194520763E-05</v>
      </c>
      <c r="M77" s="40">
        <f>E77-'січень '!E77</f>
        <v>300</v>
      </c>
      <c r="N77" s="40">
        <f>F77-'січень '!F77</f>
        <v>0.02</v>
      </c>
      <c r="O77" s="53">
        <f t="shared" si="27"/>
        <v>-299.98</v>
      </c>
      <c r="P77" s="56">
        <f aca="true" t="shared" si="28" ref="P77:P86">N77/M77*100</f>
        <v>0.006666666666666667</v>
      </c>
      <c r="Q77" s="56">
        <f>N77-1273</f>
        <v>-1272.98</v>
      </c>
      <c r="R77" s="137">
        <f>N77/1273</f>
        <v>1.5710919088766692E-05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3"/>
        <v>0</v>
      </c>
      <c r="H78" s="40" t="e">
        <f t="shared" si="24"/>
        <v>#DIV/0!</v>
      </c>
      <c r="I78" s="56">
        <f t="shared" si="25"/>
        <v>0</v>
      </c>
      <c r="J78" s="56" t="e">
        <f t="shared" si="26"/>
        <v>#DIV/0!</v>
      </c>
      <c r="K78" s="56"/>
      <c r="L78" s="137">
        <f aca="true" t="shared" si="29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7"/>
        <v>0</v>
      </c>
      <c r="P78" s="56" t="e">
        <f t="shared" si="28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3"/>
        <v>0</v>
      </c>
      <c r="H79" s="40" t="e">
        <f t="shared" si="24"/>
        <v>#DIV/0!</v>
      </c>
      <c r="I79" s="56">
        <f t="shared" si="25"/>
        <v>0</v>
      </c>
      <c r="J79" s="56" t="e">
        <f t="shared" si="26"/>
        <v>#DIV/0!</v>
      </c>
      <c r="K79" s="56"/>
      <c r="L79" s="137">
        <f t="shared" si="29"/>
        <v>0</v>
      </c>
      <c r="M79" s="40">
        <f>E79-'січень '!E79</f>
        <v>0</v>
      </c>
      <c r="N79" s="40">
        <f>F79-'січень '!F79</f>
        <v>0</v>
      </c>
      <c r="O79" s="53">
        <f t="shared" si="27"/>
        <v>0</v>
      </c>
      <c r="P79" s="56" t="e">
        <f t="shared" si="28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3"/>
        <v>0</v>
      </c>
      <c r="H80" s="40" t="e">
        <f t="shared" si="24"/>
        <v>#DIV/0!</v>
      </c>
      <c r="I80" s="56">
        <f t="shared" si="25"/>
        <v>0</v>
      </c>
      <c r="J80" s="56" t="e">
        <f t="shared" si="26"/>
        <v>#DIV/0!</v>
      </c>
      <c r="K80" s="56"/>
      <c r="L80" s="137">
        <f t="shared" si="29"/>
        <v>0</v>
      </c>
      <c r="M80" s="40">
        <f>E80-'січень '!E80</f>
        <v>0</v>
      </c>
      <c r="N80" s="40">
        <f>F80-'січень '!F80</f>
        <v>0</v>
      </c>
      <c r="O80" s="53">
        <f t="shared" si="27"/>
        <v>0</v>
      </c>
      <c r="P80" s="56" t="e">
        <f t="shared" si="28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3"/>
        <v>0</v>
      </c>
      <c r="H81" s="40" t="e">
        <f t="shared" si="24"/>
        <v>#DIV/0!</v>
      </c>
      <c r="I81" s="56">
        <f t="shared" si="25"/>
        <v>0</v>
      </c>
      <c r="J81" s="56" t="e">
        <f t="shared" si="26"/>
        <v>#DIV/0!</v>
      </c>
      <c r="K81" s="56"/>
      <c r="L81" s="137">
        <f t="shared" si="29"/>
        <v>0</v>
      </c>
      <c r="M81" s="40">
        <f>E81-'січень '!E81</f>
        <v>0</v>
      </c>
      <c r="N81" s="40">
        <f>F81-'січень '!F81</f>
        <v>0</v>
      </c>
      <c r="O81" s="53">
        <f t="shared" si="27"/>
        <v>0</v>
      </c>
      <c r="P81" s="56" t="e">
        <f t="shared" si="28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3"/>
        <v>0</v>
      </c>
      <c r="H82" s="40" t="e">
        <f t="shared" si="24"/>
        <v>#DIV/0!</v>
      </c>
      <c r="I82" s="56">
        <f t="shared" si="25"/>
        <v>0</v>
      </c>
      <c r="J82" s="56" t="e">
        <f t="shared" si="26"/>
        <v>#DIV/0!</v>
      </c>
      <c r="K82" s="56"/>
      <c r="L82" s="137">
        <f t="shared" si="29"/>
        <v>0</v>
      </c>
      <c r="M82" s="40">
        <f>E82-'січень '!E82</f>
        <v>0</v>
      </c>
      <c r="N82" s="40">
        <f>F82-'січень '!F82</f>
        <v>0</v>
      </c>
      <c r="O82" s="53">
        <f t="shared" si="27"/>
        <v>0</v>
      </c>
      <c r="P82" s="56" t="e">
        <f t="shared" si="28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3"/>
        <v>0</v>
      </c>
      <c r="H83" s="40" t="e">
        <f t="shared" si="24"/>
        <v>#DIV/0!</v>
      </c>
      <c r="I83" s="56">
        <f t="shared" si="25"/>
        <v>0</v>
      </c>
      <c r="J83" s="56" t="e">
        <f t="shared" si="26"/>
        <v>#DIV/0!</v>
      </c>
      <c r="K83" s="56"/>
      <c r="L83" s="137">
        <f t="shared" si="29"/>
        <v>0</v>
      </c>
      <c r="M83" s="40">
        <f>E83-'січень '!E83</f>
        <v>0</v>
      </c>
      <c r="N83" s="40">
        <f>F83-'січень '!F83</f>
        <v>0</v>
      </c>
      <c r="O83" s="53">
        <f t="shared" si="27"/>
        <v>0</v>
      </c>
      <c r="P83" s="56" t="e">
        <f t="shared" si="28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3"/>
        <v>0</v>
      </c>
      <c r="H84" s="40" t="e">
        <f t="shared" si="24"/>
        <v>#DIV/0!</v>
      </c>
      <c r="I84" s="56">
        <f t="shared" si="25"/>
        <v>0</v>
      </c>
      <c r="J84" s="56" t="e">
        <f t="shared" si="26"/>
        <v>#DIV/0!</v>
      </c>
      <c r="K84" s="56"/>
      <c r="L84" s="137">
        <f t="shared" si="29"/>
        <v>0</v>
      </c>
      <c r="M84" s="40">
        <f>E84-'січень '!E84</f>
        <v>0</v>
      </c>
      <c r="N84" s="40">
        <f>F84-'січень '!F84</f>
        <v>0</v>
      </c>
      <c r="O84" s="53">
        <f t="shared" si="27"/>
        <v>0</v>
      </c>
      <c r="P84" s="56" t="e">
        <f t="shared" si="28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3"/>
        <v>0</v>
      </c>
      <c r="H85" s="40" t="e">
        <f t="shared" si="24"/>
        <v>#DIV/0!</v>
      </c>
      <c r="I85" s="56">
        <f t="shared" si="25"/>
        <v>0</v>
      </c>
      <c r="J85" s="56" t="e">
        <f t="shared" si="26"/>
        <v>#DIV/0!</v>
      </c>
      <c r="K85" s="56"/>
      <c r="L85" s="137">
        <f t="shared" si="29"/>
        <v>0</v>
      </c>
      <c r="M85" s="40">
        <f>E85-'січень '!E85</f>
        <v>0</v>
      </c>
      <c r="N85" s="40">
        <f>F85-'січень '!F85</f>
        <v>0</v>
      </c>
      <c r="O85" s="53">
        <f t="shared" si="27"/>
        <v>0</v>
      </c>
      <c r="P85" s="56" t="e">
        <f t="shared" si="28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100</v>
      </c>
      <c r="F86" s="57">
        <v>0</v>
      </c>
      <c r="G86" s="49">
        <f t="shared" si="23"/>
        <v>-100</v>
      </c>
      <c r="H86" s="40">
        <f t="shared" si="24"/>
        <v>0</v>
      </c>
      <c r="I86" s="56">
        <f t="shared" si="25"/>
        <v>-4300</v>
      </c>
      <c r="J86" s="56">
        <f t="shared" si="26"/>
        <v>0</v>
      </c>
      <c r="K86" s="56">
        <f>F86-0</f>
        <v>0</v>
      </c>
      <c r="L86" s="137" t="e">
        <f>F86/0*100</f>
        <v>#DIV/0!</v>
      </c>
      <c r="M86" s="40">
        <f>E86-'січень '!E86</f>
        <v>100</v>
      </c>
      <c r="N86" s="40">
        <f>F86-'січень '!F86</f>
        <v>0</v>
      </c>
      <c r="O86" s="53">
        <f t="shared" si="27"/>
        <v>-100</v>
      </c>
      <c r="P86" s="56">
        <f t="shared" si="28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58.88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54.650000000000006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1.1</v>
      </c>
      <c r="F88" s="57">
        <v>3.4</v>
      </c>
      <c r="G88" s="49">
        <f t="shared" si="23"/>
        <v>2.3</v>
      </c>
      <c r="H88" s="40">
        <f>F88/E88*100</f>
        <v>309.09090909090907</v>
      </c>
      <c r="I88" s="56">
        <f t="shared" si="25"/>
        <v>-1.6999999999999997</v>
      </c>
      <c r="J88" s="56">
        <f t="shared" si="26"/>
        <v>66.66666666666667</v>
      </c>
      <c r="K88" s="56">
        <f>F88-0</f>
        <v>3.4</v>
      </c>
      <c r="L88" s="137" t="e">
        <f>F88/0*100</f>
        <v>#DIV/0!</v>
      </c>
      <c r="M88" s="40">
        <f>E88-'січень '!E88</f>
        <v>1</v>
      </c>
      <c r="N88" s="40">
        <f>F88-'січень '!F88</f>
        <v>3.4</v>
      </c>
      <c r="O88" s="53">
        <f t="shared" si="27"/>
        <v>2.4</v>
      </c>
      <c r="P88" s="56">
        <f>N88/M88*100</f>
        <v>340</v>
      </c>
      <c r="Q88" s="56">
        <f>N88-0</f>
        <v>3.4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20</v>
      </c>
      <c r="F89" s="57">
        <v>16.96</v>
      </c>
      <c r="G89" s="49">
        <f t="shared" si="23"/>
        <v>-3.039999999999999</v>
      </c>
      <c r="H89" s="40">
        <f>F89/E89*100</f>
        <v>84.80000000000001</v>
      </c>
      <c r="I89" s="56">
        <f t="shared" si="25"/>
        <v>-158.04</v>
      </c>
      <c r="J89" s="56">
        <f t="shared" si="26"/>
        <v>9.691428571428572</v>
      </c>
      <c r="K89" s="56">
        <f>F89-31.6</f>
        <v>-14.64</v>
      </c>
      <c r="L89" s="137">
        <f>F89/31.6</f>
        <v>0.5367088607594936</v>
      </c>
      <c r="M89" s="40">
        <f>E89-'січень '!E89</f>
        <v>10</v>
      </c>
      <c r="N89" s="40">
        <f>F89-'січень '!F89</f>
        <v>7.940000000000001</v>
      </c>
      <c r="O89" s="53">
        <f t="shared" si="27"/>
        <v>-2.0599999999999987</v>
      </c>
      <c r="P89" s="56">
        <f>N89/M89*100</f>
        <v>79.40000000000002</v>
      </c>
      <c r="Q89" s="56">
        <f>N89-19.8</f>
        <v>-11.86</v>
      </c>
      <c r="R89" s="137">
        <f>N89/19.8</f>
        <v>0.40101010101010104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3"/>
        <v>0</v>
      </c>
      <c r="H90" s="40" t="e">
        <f>F90/E90*100</f>
        <v>#DIV/0!</v>
      </c>
      <c r="I90" s="56">
        <f t="shared" si="25"/>
        <v>0</v>
      </c>
      <c r="J90" s="56" t="e">
        <f t="shared" si="26"/>
        <v>#DIV/0!</v>
      </c>
      <c r="K90" s="56"/>
      <c r="L90" s="137">
        <f t="shared" si="29"/>
        <v>0</v>
      </c>
      <c r="M90" s="40">
        <f>E90-'січень '!E90</f>
        <v>0</v>
      </c>
      <c r="N90" s="40">
        <f>F90-'січень '!F90</f>
        <v>0</v>
      </c>
      <c r="O90" s="53">
        <f t="shared" si="27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3"/>
        <v>0</v>
      </c>
      <c r="H91" s="40" t="e">
        <f>F91/E91*100</f>
        <v>#DIV/0!</v>
      </c>
      <c r="I91" s="56">
        <f t="shared" si="25"/>
        <v>0</v>
      </c>
      <c r="J91" s="56" t="e">
        <f t="shared" si="26"/>
        <v>#DIV/0!</v>
      </c>
      <c r="K91" s="56"/>
      <c r="L91" s="137">
        <f t="shared" si="29"/>
        <v>0</v>
      </c>
      <c r="M91" s="40">
        <f>E91-'січень '!E91</f>
        <v>0</v>
      </c>
      <c r="N91" s="40">
        <f>F91-'січень '!F91</f>
        <v>0</v>
      </c>
      <c r="O91" s="53">
        <f t="shared" si="27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3"/>
        <v>0</v>
      </c>
      <c r="H92" s="40" t="e">
        <f>F92/E92*100</f>
        <v>#DIV/0!</v>
      </c>
      <c r="I92" s="56">
        <f t="shared" si="25"/>
        <v>0</v>
      </c>
      <c r="J92" s="56" t="e">
        <f t="shared" si="26"/>
        <v>#DIV/0!</v>
      </c>
      <c r="K92" s="56"/>
      <c r="L92" s="137">
        <f t="shared" si="29"/>
        <v>0</v>
      </c>
      <c r="M92" s="40">
        <f>E92-'січень '!E92</f>
        <v>0</v>
      </c>
      <c r="N92" s="40">
        <f>F92-'січень '!F92</f>
        <v>0</v>
      </c>
      <c r="O92" s="53">
        <f t="shared" si="27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29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0" ref="G94:G101">F94-E94</f>
        <v>0</v>
      </c>
      <c r="H94" s="40"/>
      <c r="I94" s="56">
        <f aca="true" t="shared" si="31" ref="I94:I100">F94-D94</f>
        <v>0</v>
      </c>
      <c r="J94" s="56"/>
      <c r="K94" s="56"/>
      <c r="L94" s="137">
        <f t="shared" si="29"/>
        <v>0</v>
      </c>
      <c r="M94" s="40">
        <f>E94-'січень '!E94</f>
        <v>0</v>
      </c>
      <c r="N94" s="40">
        <f>F94-'січень '!F94</f>
        <v>0</v>
      </c>
      <c r="O94" s="53">
        <f aca="true" t="shared" si="32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1260</v>
      </c>
      <c r="F95" s="57">
        <v>1147.01</v>
      </c>
      <c r="G95" s="49">
        <f t="shared" si="30"/>
        <v>-112.99000000000001</v>
      </c>
      <c r="H95" s="40">
        <f>F95/E95*100</f>
        <v>91.03253968253968</v>
      </c>
      <c r="I95" s="56">
        <f t="shared" si="31"/>
        <v>-5152.99</v>
      </c>
      <c r="J95" s="56">
        <f>F95/D95*100</f>
        <v>18.206507936507936</v>
      </c>
      <c r="K95" s="56">
        <f>F95-825</f>
        <v>322.01</v>
      </c>
      <c r="L95" s="137">
        <f>F95/825</f>
        <v>1.3903151515151515</v>
      </c>
      <c r="M95" s="40">
        <f>E95-'січень '!E95</f>
        <v>630</v>
      </c>
      <c r="N95" s="40">
        <f>F95-'січень '!F95</f>
        <v>499.52</v>
      </c>
      <c r="O95" s="53">
        <f t="shared" si="32"/>
        <v>-130.48000000000002</v>
      </c>
      <c r="P95" s="56">
        <f>N95/M95*100</f>
        <v>79.28888888888889</v>
      </c>
      <c r="Q95" s="56">
        <f>N95-186.8</f>
        <v>312.71999999999997</v>
      </c>
      <c r="R95" s="137">
        <f>N95/186.8</f>
        <v>2.674089935760171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170</v>
      </c>
      <c r="F96" s="57">
        <v>107.05</v>
      </c>
      <c r="G96" s="49">
        <f t="shared" si="30"/>
        <v>-62.95</v>
      </c>
      <c r="H96" s="40">
        <f>F96/E96*100</f>
        <v>62.97058823529411</v>
      </c>
      <c r="I96" s="56">
        <f t="shared" si="31"/>
        <v>-1092.95</v>
      </c>
      <c r="J96" s="56">
        <f>F96/D96*100</f>
        <v>8.920833333333334</v>
      </c>
      <c r="K96" s="56">
        <f>F96-60</f>
        <v>47.05</v>
      </c>
      <c r="L96" s="137">
        <f>F96/60</f>
        <v>1.7841666666666667</v>
      </c>
      <c r="M96" s="40">
        <f>E96-'січень '!E96</f>
        <v>85</v>
      </c>
      <c r="N96" s="40">
        <f>F96-'січень '!F96</f>
        <v>27.539999999999992</v>
      </c>
      <c r="O96" s="53">
        <f t="shared" si="32"/>
        <v>-57.46000000000001</v>
      </c>
      <c r="P96" s="56">
        <f>N96/M96*100</f>
        <v>32.39999999999999</v>
      </c>
      <c r="Q96" s="56">
        <f>N96-42.8</f>
        <v>-15.260000000000005</v>
      </c>
      <c r="R96" s="137">
        <f>N96/42.8</f>
        <v>0.6434579439252335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0"/>
        <v>0</v>
      </c>
      <c r="H97" s="40"/>
      <c r="I97" s="56">
        <f t="shared" si="31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2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0"/>
        <v>0</v>
      </c>
      <c r="H98" s="40" t="e">
        <f>F98/E98*100</f>
        <v>#DIV/0!</v>
      </c>
      <c r="I98" s="56">
        <f t="shared" si="31"/>
        <v>0</v>
      </c>
      <c r="J98" s="56" t="e">
        <f>F98/D98*100</f>
        <v>#DIV/0!</v>
      </c>
      <c r="K98" s="56"/>
      <c r="L98" s="137">
        <f t="shared" si="29"/>
        <v>0</v>
      </c>
      <c r="M98" s="40">
        <f>E98-'січень '!E98</f>
        <v>0</v>
      </c>
      <c r="N98" s="40">
        <f>F98-'січень '!F98</f>
        <v>0</v>
      </c>
      <c r="O98" s="53">
        <f t="shared" si="32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660</v>
      </c>
      <c r="F99" s="57">
        <v>538.18</v>
      </c>
      <c r="G99" s="49">
        <f t="shared" si="30"/>
        <v>-121.82000000000005</v>
      </c>
      <c r="H99" s="40">
        <f>F99/E99*100</f>
        <v>81.54242424242423</v>
      </c>
      <c r="I99" s="56">
        <f t="shared" si="31"/>
        <v>-3341.82</v>
      </c>
      <c r="J99" s="56">
        <f>F99/D99*100</f>
        <v>13.87061855670103</v>
      </c>
      <c r="K99" s="56">
        <f>F99-488.6</f>
        <v>49.57999999999993</v>
      </c>
      <c r="L99" s="137">
        <f>F99/488.6</f>
        <v>1.1014735980352024</v>
      </c>
      <c r="M99" s="40">
        <f>E99-'січень '!E99</f>
        <v>330</v>
      </c>
      <c r="N99" s="40">
        <f>F99-'січень '!F99</f>
        <v>260.79999999999995</v>
      </c>
      <c r="O99" s="53">
        <f t="shared" si="32"/>
        <v>-69.20000000000005</v>
      </c>
      <c r="P99" s="56">
        <f>N99/M99*100</f>
        <v>79.03030303030302</v>
      </c>
      <c r="Q99" s="56">
        <f>N99-252.2</f>
        <v>8.599999999999966</v>
      </c>
      <c r="R99" s="137">
        <f>N99/252.2</f>
        <v>1.0340999206978587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0"/>
        <v>0</v>
      </c>
      <c r="H100" s="40" t="e">
        <f>F100/E100*100</f>
        <v>#DIV/0!</v>
      </c>
      <c r="I100" s="56">
        <f t="shared" si="31"/>
        <v>0</v>
      </c>
      <c r="J100" s="56" t="e">
        <f>F100/D100*100</f>
        <v>#DIV/0!</v>
      </c>
      <c r="K100" s="56"/>
      <c r="L100" s="137">
        <f t="shared" si="29"/>
        <v>0</v>
      </c>
      <c r="M100" s="40">
        <f>E100-'січень '!E100</f>
        <v>0</v>
      </c>
      <c r="N100" s="40">
        <f>F100-'січень '!F100</f>
        <v>0</v>
      </c>
      <c r="O100" s="53">
        <f t="shared" si="32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0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29"/>
        <v>0</v>
      </c>
      <c r="M101" s="40">
        <f>E101-'січень '!E101</f>
        <v>0</v>
      </c>
      <c r="N101" s="40">
        <f>F101-'січень '!F101</f>
        <v>0</v>
      </c>
      <c r="O101" s="53">
        <f t="shared" si="32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8">
        <v>118.8</v>
      </c>
      <c r="G102" s="186"/>
      <c r="H102" s="188"/>
      <c r="I102" s="187"/>
      <c r="J102" s="187"/>
      <c r="K102" s="190">
        <f>F102-54.4</f>
        <v>64.4</v>
      </c>
      <c r="L102" s="191">
        <f>F102/54.4</f>
        <v>2.1838235294117645</v>
      </c>
      <c r="M102" s="188">
        <f>E102-'січень '!E102</f>
        <v>0</v>
      </c>
      <c r="N102" s="188">
        <f>F102-'січень '!F102</f>
        <v>54.099999999999994</v>
      </c>
      <c r="O102" s="53"/>
      <c r="P102" s="60"/>
      <c r="Q102" s="60">
        <f>N102-26.6</f>
        <v>27.499999999999993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3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4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</v>
      </c>
      <c r="F104" s="57">
        <v>2.68</v>
      </c>
      <c r="G104" s="49">
        <f>F104-E104</f>
        <v>0.6800000000000002</v>
      </c>
      <c r="H104" s="40"/>
      <c r="I104" s="56">
        <f t="shared" si="33"/>
        <v>-42.32</v>
      </c>
      <c r="J104" s="56">
        <f aca="true" t="shared" si="35" ref="J104:J109">F104/D104*100</f>
        <v>5.955555555555556</v>
      </c>
      <c r="K104" s="56">
        <f>F104-10.6</f>
        <v>-7.92</v>
      </c>
      <c r="L104" s="137">
        <f>F104/10.6</f>
        <v>0.2528301886792453</v>
      </c>
      <c r="M104" s="40">
        <f>E104-'січень '!E104</f>
        <v>1</v>
      </c>
      <c r="N104" s="40">
        <f>F104-'січень '!F104</f>
        <v>0.4700000000000002</v>
      </c>
      <c r="O104" s="53">
        <f t="shared" si="34"/>
        <v>-0.5299999999999998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</v>
      </c>
      <c r="O105" s="53">
        <f t="shared" si="34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72544.1</v>
      </c>
      <c r="F106" s="22">
        <f>F8+F74+F104+F105</f>
        <v>48782.96</v>
      </c>
      <c r="G106" s="50">
        <f>F106-E106</f>
        <v>-23761.140000000007</v>
      </c>
      <c r="H106" s="51">
        <f>F106/E106*100</f>
        <v>67.24593729882926</v>
      </c>
      <c r="I106" s="36">
        <f t="shared" si="33"/>
        <v>-488256.94</v>
      </c>
      <c r="J106" s="36">
        <f t="shared" si="35"/>
        <v>9.083675160821384</v>
      </c>
      <c r="K106" s="36">
        <f>F106-75300.9</f>
        <v>-26517.939999999995</v>
      </c>
      <c r="L106" s="138">
        <f>F106/75300.9</f>
        <v>0.6478403312576609</v>
      </c>
      <c r="M106" s="22">
        <f>M8+M74+M104+M105</f>
        <v>37282</v>
      </c>
      <c r="N106" s="22">
        <f>N8+N74+N104+N105</f>
        <v>14014.959999999997</v>
      </c>
      <c r="O106" s="55">
        <f t="shared" si="34"/>
        <v>-23267.04</v>
      </c>
      <c r="P106" s="36">
        <f>N106/M106*100</f>
        <v>37.59176009870714</v>
      </c>
      <c r="Q106" s="36">
        <f>N106-40779.2</f>
        <v>-26764.239999999998</v>
      </c>
      <c r="R106" s="138">
        <f>N106/40779.2</f>
        <v>0.34367913053713656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56070</v>
      </c>
      <c r="F107" s="71">
        <f>F10-F18+F96</f>
        <v>38070.47</v>
      </c>
      <c r="G107" s="71">
        <f>G10-G18+G96</f>
        <v>-17999.530000000002</v>
      </c>
      <c r="H107" s="72">
        <f>F107/E107*100</f>
        <v>67.89810950597467</v>
      </c>
      <c r="I107" s="52">
        <f t="shared" si="33"/>
        <v>-381495.73</v>
      </c>
      <c r="J107" s="52">
        <f t="shared" si="35"/>
        <v>9.073769526715928</v>
      </c>
      <c r="K107" s="52">
        <f>F107-55213.7</f>
        <v>-17143.229999999996</v>
      </c>
      <c r="L107" s="139">
        <f>F107/55213.7</f>
        <v>0.6895112988261972</v>
      </c>
      <c r="M107" s="71">
        <f>M10-M18+M96</f>
        <v>28835</v>
      </c>
      <c r="N107" s="71">
        <f>N10-N18+N96</f>
        <v>11422.849999999999</v>
      </c>
      <c r="O107" s="53">
        <f t="shared" si="34"/>
        <v>-17412.15</v>
      </c>
      <c r="P107" s="52">
        <f>N107/M107*100</f>
        <v>39.61453095196809</v>
      </c>
      <c r="Q107" s="52">
        <f>N107-28449</f>
        <v>-17026.15</v>
      </c>
      <c r="R107" s="139">
        <f>N107/28449</f>
        <v>0.4015202643326654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16474.100000000006</v>
      </c>
      <c r="F108" s="71">
        <f>F106-F107</f>
        <v>10712.489999999998</v>
      </c>
      <c r="G108" s="62">
        <f>F108-E108</f>
        <v>-5761.610000000008</v>
      </c>
      <c r="H108" s="72">
        <f>F108/E108*100</f>
        <v>65.02625333098618</v>
      </c>
      <c r="I108" s="52">
        <f t="shared" si="33"/>
        <v>-106761.21000000002</v>
      </c>
      <c r="J108" s="52">
        <f t="shared" si="35"/>
        <v>9.119053881847595</v>
      </c>
      <c r="K108" s="52">
        <f>F108-20087.2</f>
        <v>-9374.710000000003</v>
      </c>
      <c r="L108" s="139">
        <f>F108/20087.2</f>
        <v>0.5332993149866581</v>
      </c>
      <c r="M108" s="71">
        <f>M106-M107</f>
        <v>8447</v>
      </c>
      <c r="N108" s="71">
        <f>N106-N107</f>
        <v>2592.1099999999988</v>
      </c>
      <c r="O108" s="53">
        <f t="shared" si="34"/>
        <v>-5854.890000000001</v>
      </c>
      <c r="P108" s="52">
        <f>N108/M108*100</f>
        <v>30.686752693263863</v>
      </c>
      <c r="Q108" s="52">
        <f>N108-12330.3</f>
        <v>-9738.19</v>
      </c>
      <c r="R108" s="139">
        <f>N108/12330.3</f>
        <v>0.2102227845226798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38070.47</v>
      </c>
      <c r="G109" s="111">
        <f>F109-E109</f>
        <v>-21944.229999999996</v>
      </c>
      <c r="H109" s="72">
        <f>F109/E109*100</f>
        <v>63.43524169911705</v>
      </c>
      <c r="I109" s="81">
        <f t="shared" si="33"/>
        <v>-381495.73</v>
      </c>
      <c r="J109" s="52">
        <f t="shared" si="35"/>
        <v>9.073769526715928</v>
      </c>
      <c r="K109" s="52"/>
      <c r="L109" s="139"/>
      <c r="M109" s="122">
        <f>E109-'січень '!E109</f>
        <v>31301.299999999996</v>
      </c>
      <c r="N109" s="71">
        <f>N107</f>
        <v>11422.849999999999</v>
      </c>
      <c r="O109" s="118">
        <f t="shared" si="34"/>
        <v>-19878.449999999997</v>
      </c>
      <c r="P109" s="52">
        <f>N109/M109*100</f>
        <v>36.49321274196279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2476.47</v>
      </c>
      <c r="G110" s="62">
        <f>F110-E110</f>
        <v>-742.9410000000003</v>
      </c>
      <c r="H110" s="72"/>
      <c r="I110" s="85">
        <f t="shared" si="33"/>
        <v>-2393.9100000000003</v>
      </c>
      <c r="J110" s="52"/>
      <c r="K110" s="52"/>
      <c r="L110" s="139"/>
      <c r="M110" s="40">
        <f>E110-'січень '!E110</f>
        <v>1650.981</v>
      </c>
      <c r="N110" s="71">
        <f>F110-'січень '!F110</f>
        <v>908.0389999999998</v>
      </c>
      <c r="O110" s="86"/>
      <c r="P110" s="52">
        <f>N110/M110*100</f>
        <v>54.99996668647306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-2.82</v>
      </c>
      <c r="G113" s="49">
        <f aca="true" t="shared" si="36" ref="G113:G125">F113-E113</f>
        <v>-2.82</v>
      </c>
      <c r="H113" s="40"/>
      <c r="I113" s="60">
        <f aca="true" t="shared" si="37" ref="I113:I124">F113-D113</f>
        <v>-2.82</v>
      </c>
      <c r="J113" s="60"/>
      <c r="K113" s="60">
        <f>F113-4.1</f>
        <v>-6.92</v>
      </c>
      <c r="L113" s="140">
        <f>F113/4.1</f>
        <v>-0.6878048780487805</v>
      </c>
      <c r="M113" s="40">
        <f>E113-'січень '!E113</f>
        <v>0</v>
      </c>
      <c r="N113" s="40">
        <f>F113-'січень '!F113</f>
        <v>-3</v>
      </c>
      <c r="O113" s="53"/>
      <c r="P113" s="60"/>
      <c r="Q113" s="60">
        <f>N113-3.2</f>
        <v>-6.2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1126.05</v>
      </c>
      <c r="F114" s="32">
        <v>125.41</v>
      </c>
      <c r="G114" s="49">
        <f t="shared" si="36"/>
        <v>-1000.64</v>
      </c>
      <c r="H114" s="40">
        <f aca="true" t="shared" si="38" ref="H114:H125">F114/E114*100</f>
        <v>11.137160872074952</v>
      </c>
      <c r="I114" s="60">
        <f t="shared" si="37"/>
        <v>-3546.09</v>
      </c>
      <c r="J114" s="60">
        <f aca="true" t="shared" si="39" ref="J114:J120">F114/D114*100</f>
        <v>3.4157701212038676</v>
      </c>
      <c r="K114" s="60">
        <f>F114-605.5</f>
        <v>-480.09000000000003</v>
      </c>
      <c r="L114" s="140">
        <f>F114/605.5</f>
        <v>0.2071180842279108</v>
      </c>
      <c r="M114" s="40">
        <f>E114-'січень '!E114</f>
        <v>563.02</v>
      </c>
      <c r="N114" s="40">
        <f>F114-'січень '!F114</f>
        <v>57.269999999999996</v>
      </c>
      <c r="O114" s="53">
        <f aca="true" t="shared" si="40" ref="O114:O125">N114-M114</f>
        <v>-505.75</v>
      </c>
      <c r="P114" s="60">
        <f>N114/M114*100</f>
        <v>10.171929949202514</v>
      </c>
      <c r="Q114" s="60">
        <f>N114-358.7</f>
        <v>-301.43</v>
      </c>
      <c r="R114" s="140">
        <f>N114/358.7</f>
        <v>0.15965988291051017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50</v>
      </c>
      <c r="F115" s="32">
        <v>46.69</v>
      </c>
      <c r="G115" s="49">
        <f t="shared" si="36"/>
        <v>-3.3100000000000023</v>
      </c>
      <c r="H115" s="40">
        <f t="shared" si="38"/>
        <v>93.38</v>
      </c>
      <c r="I115" s="60">
        <f t="shared" si="37"/>
        <v>-221.41000000000003</v>
      </c>
      <c r="J115" s="60">
        <f t="shared" si="39"/>
        <v>17.415143603133156</v>
      </c>
      <c r="K115" s="60">
        <f>F115-39.4</f>
        <v>7.289999999999999</v>
      </c>
      <c r="L115" s="140">
        <f>F115/39.4</f>
        <v>1.1850253807106599</v>
      </c>
      <c r="M115" s="40">
        <f>E115-'січень '!E115</f>
        <v>25</v>
      </c>
      <c r="N115" s="40">
        <f>F115-'січень '!F115</f>
        <v>22.159999999999997</v>
      </c>
      <c r="O115" s="53">
        <f t="shared" si="40"/>
        <v>-2.8400000000000034</v>
      </c>
      <c r="P115" s="60">
        <f>N115/M115*100</f>
        <v>88.63999999999999</v>
      </c>
      <c r="Q115" s="60">
        <f>N115-16.9</f>
        <v>5.259999999999998</v>
      </c>
      <c r="R115" s="140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1176.05</v>
      </c>
      <c r="F116" s="38">
        <f>SUM(F113:F115)</f>
        <v>169.28</v>
      </c>
      <c r="G116" s="62">
        <f t="shared" si="36"/>
        <v>-1006.77</v>
      </c>
      <c r="H116" s="72">
        <f t="shared" si="38"/>
        <v>14.39394583563624</v>
      </c>
      <c r="I116" s="61">
        <f t="shared" si="37"/>
        <v>-3770.3199999999997</v>
      </c>
      <c r="J116" s="61">
        <f t="shared" si="39"/>
        <v>4.296882932277389</v>
      </c>
      <c r="K116" s="61">
        <f>F116-648.9</f>
        <v>-479.62</v>
      </c>
      <c r="L116" s="141">
        <f>F116/648.9</f>
        <v>0.26087224533826475</v>
      </c>
      <c r="M116" s="62">
        <f>M114+M115+M113</f>
        <v>588.02</v>
      </c>
      <c r="N116" s="38">
        <f>SUM(N113:N115)</f>
        <v>76.42999999999999</v>
      </c>
      <c r="O116" s="61">
        <f t="shared" si="40"/>
        <v>-511.59</v>
      </c>
      <c r="P116" s="61">
        <f>N116/M116*100</f>
        <v>12.99785721574096</v>
      </c>
      <c r="Q116" s="61">
        <f>N116-378.9</f>
        <v>-302.46999999999997</v>
      </c>
      <c r="R116" s="141">
        <f>N116/378.9</f>
        <v>0.20171549221430457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6"/>
        <v>0</v>
      </c>
      <c r="H117" s="40" t="e">
        <f t="shared" si="38"/>
        <v>#DIV/0!</v>
      </c>
      <c r="I117" s="60">
        <f t="shared" si="37"/>
        <v>0</v>
      </c>
      <c r="J117" s="60" t="e">
        <f t="shared" si="39"/>
        <v>#DIV/0!</v>
      </c>
      <c r="K117" s="60"/>
      <c r="L117" s="140"/>
      <c r="M117" s="41">
        <v>0</v>
      </c>
      <c r="N117" s="41">
        <f>F117</f>
        <v>0</v>
      </c>
      <c r="O117" s="53">
        <f t="shared" si="40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55.63</v>
      </c>
      <c r="G118" s="49">
        <f t="shared" si="36"/>
        <v>55.63</v>
      </c>
      <c r="H118" s="40" t="e">
        <f t="shared" si="38"/>
        <v>#DIV/0!</v>
      </c>
      <c r="I118" s="60">
        <f t="shared" si="37"/>
        <v>55.63</v>
      </c>
      <c r="J118" s="60" t="e">
        <f t="shared" si="39"/>
        <v>#DIV/0!</v>
      </c>
      <c r="K118" s="60">
        <f>F118-5.2</f>
        <v>50.43</v>
      </c>
      <c r="L118" s="140">
        <f>F118/5.2</f>
        <v>10.698076923076924</v>
      </c>
      <c r="M118" s="40">
        <f>E118-'січень '!E118</f>
        <v>0</v>
      </c>
      <c r="N118" s="40">
        <f>F118-'січень '!F118</f>
        <v>1.3100000000000023</v>
      </c>
      <c r="O118" s="53" t="s">
        <v>166</v>
      </c>
      <c r="P118" s="60"/>
      <c r="Q118" s="60">
        <f>N118-5</f>
        <v>-3.6899999999999977</v>
      </c>
      <c r="R118" s="140">
        <f>N118/5</f>
        <v>0.26200000000000045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0</v>
      </c>
      <c r="F119" s="33">
        <v>13176.85</v>
      </c>
      <c r="G119" s="49">
        <f t="shared" si="36"/>
        <v>13176.85</v>
      </c>
      <c r="H119" s="40" t="e">
        <f t="shared" si="38"/>
        <v>#DIV/0!</v>
      </c>
      <c r="I119" s="53">
        <f t="shared" si="37"/>
        <v>-12810.534999999998</v>
      </c>
      <c r="J119" s="60">
        <f t="shared" si="39"/>
        <v>50.70479388364778</v>
      </c>
      <c r="K119" s="60">
        <f>F119-14451.2</f>
        <v>-1274.3500000000004</v>
      </c>
      <c r="L119" s="140">
        <f>F119/14451.2</f>
        <v>0.9118170117360496</v>
      </c>
      <c r="M119" s="40">
        <f>E119-'січень '!E119</f>
        <v>0</v>
      </c>
      <c r="N119" s="40">
        <f>F119-'січень '!F119</f>
        <v>5696.990000000001</v>
      </c>
      <c r="O119" s="53">
        <f t="shared" si="40"/>
        <v>5696.990000000001</v>
      </c>
      <c r="P119" s="60" t="e">
        <f aca="true" t="shared" si="41" ref="P119:P124">N119/M119*100</f>
        <v>#DIV/0!</v>
      </c>
      <c r="Q119" s="60">
        <f>N119-8093.7</f>
        <v>-2396.709999999999</v>
      </c>
      <c r="R119" s="140">
        <f>N119/8093.7</f>
        <v>0.7038795606459346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41.75</v>
      </c>
      <c r="G120" s="49">
        <f t="shared" si="36"/>
        <v>41.75</v>
      </c>
      <c r="H120" s="40" t="e">
        <f t="shared" si="38"/>
        <v>#DIV/0!</v>
      </c>
      <c r="I120" s="60">
        <f t="shared" si="37"/>
        <v>41.75</v>
      </c>
      <c r="J120" s="60" t="e">
        <f t="shared" si="39"/>
        <v>#DIV/0!</v>
      </c>
      <c r="K120" s="60">
        <f>F120-280.4</f>
        <v>-238.64999999999998</v>
      </c>
      <c r="L120" s="140">
        <f>F120/230.3*100</f>
        <v>18.12852800694746</v>
      </c>
      <c r="M120" s="40">
        <f>E120-'січень '!E120</f>
        <v>0</v>
      </c>
      <c r="N120" s="40">
        <f>F120-'січень '!F120</f>
        <v>41.71</v>
      </c>
      <c r="O120" s="53">
        <f t="shared" si="40"/>
        <v>41.71</v>
      </c>
      <c r="P120" s="60" t="e">
        <f t="shared" si="41"/>
        <v>#DIV/0!</v>
      </c>
      <c r="Q120" s="60">
        <f>N120-230.3</f>
        <v>-188.59</v>
      </c>
      <c r="R120" s="140">
        <f>N120/230.3</f>
        <v>0.18111159357359966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649.2</v>
      </c>
      <c r="G121" s="49">
        <f t="shared" si="36"/>
        <v>649.2</v>
      </c>
      <c r="H121" s="40" t="e">
        <f t="shared" si="38"/>
        <v>#DIV/0!</v>
      </c>
      <c r="I121" s="60">
        <f t="shared" si="37"/>
        <v>649.2</v>
      </c>
      <c r="J121" s="60" t="e">
        <f>F121/D121*100</f>
        <v>#DIV/0!</v>
      </c>
      <c r="K121" s="60">
        <f>F121-238.5</f>
        <v>410.70000000000005</v>
      </c>
      <c r="L121" s="140">
        <f>F121/280.4</f>
        <v>2.315263908701855</v>
      </c>
      <c r="M121" s="40">
        <f>E121-'січень '!E121</f>
        <v>0</v>
      </c>
      <c r="N121" s="40">
        <f>F121-'січень '!F121</f>
        <v>199.19000000000005</v>
      </c>
      <c r="O121" s="53">
        <f t="shared" si="40"/>
        <v>199.19000000000005</v>
      </c>
      <c r="P121" s="60" t="e">
        <f t="shared" si="41"/>
        <v>#DIV/0!</v>
      </c>
      <c r="Q121" s="60">
        <f>N121-50.2</f>
        <v>148.99000000000007</v>
      </c>
      <c r="R121" s="140">
        <f>N121/50.2</f>
        <v>3.9679282868525907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45.1</v>
      </c>
      <c r="G122" s="49">
        <f t="shared" si="36"/>
        <v>45.1</v>
      </c>
      <c r="H122" s="40" t="e">
        <f t="shared" si="38"/>
        <v>#DIV/0!</v>
      </c>
      <c r="I122" s="60">
        <f t="shared" si="37"/>
        <v>45.1</v>
      </c>
      <c r="J122" s="60" t="e">
        <f>F122/D122*100</f>
        <v>#DIV/0!</v>
      </c>
      <c r="K122" s="60">
        <f>F122-306.8</f>
        <v>-261.7</v>
      </c>
      <c r="L122" s="140">
        <f>F122/306.8</f>
        <v>0.1470013037809648</v>
      </c>
      <c r="M122" s="40">
        <f>E122-'січень '!E122</f>
        <v>0</v>
      </c>
      <c r="N122" s="40">
        <f>F122-'січень '!F122</f>
        <v>44.050000000000004</v>
      </c>
      <c r="O122" s="53">
        <f t="shared" si="40"/>
        <v>44.050000000000004</v>
      </c>
      <c r="P122" s="60" t="e">
        <f t="shared" si="41"/>
        <v>#DIV/0!</v>
      </c>
      <c r="Q122" s="60">
        <f>N122-292.3</f>
        <v>-248.25</v>
      </c>
      <c r="R122" s="140">
        <f>N122/292.3</f>
        <v>0.15070133424563806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0</v>
      </c>
      <c r="F123" s="38">
        <f>F119+F120+F121+F122+F118</f>
        <v>13968.53</v>
      </c>
      <c r="G123" s="62">
        <f t="shared" si="36"/>
        <v>13968.53</v>
      </c>
      <c r="H123" s="72" t="e">
        <f t="shared" si="38"/>
        <v>#DIV/0!</v>
      </c>
      <c r="I123" s="61">
        <f t="shared" si="37"/>
        <v>-12018.854999999998</v>
      </c>
      <c r="J123" s="61">
        <f>F123/D123*100</f>
        <v>53.75119505098339</v>
      </c>
      <c r="K123" s="61">
        <f>F123-15573.7</f>
        <v>-1605.17</v>
      </c>
      <c r="L123" s="141">
        <f>F123/15573.7</f>
        <v>0.8969307229495881</v>
      </c>
      <c r="M123" s="62">
        <f>M119+M120+M121+M122+M118</f>
        <v>0</v>
      </c>
      <c r="N123" s="62">
        <f>N119+N120+N121+N122+N118</f>
        <v>5983.250000000002</v>
      </c>
      <c r="O123" s="61">
        <f t="shared" si="40"/>
        <v>5983.250000000002</v>
      </c>
      <c r="P123" s="61" t="e">
        <f t="shared" si="41"/>
        <v>#DIV/0!</v>
      </c>
      <c r="Q123" s="61">
        <f>N123-8732.6</f>
        <v>-2749.3499999999985</v>
      </c>
      <c r="R123" s="141">
        <f>N123/8732.6</f>
        <v>0.6851624945606122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</v>
      </c>
      <c r="F124" s="33">
        <v>0.16</v>
      </c>
      <c r="G124" s="49">
        <f t="shared" si="36"/>
        <v>0.16</v>
      </c>
      <c r="H124" s="40" t="e">
        <f t="shared" si="38"/>
        <v>#DIV/0!</v>
      </c>
      <c r="I124" s="60">
        <f t="shared" si="37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0</v>
      </c>
      <c r="N124" s="40">
        <f>F124-'січень '!F124</f>
        <v>0</v>
      </c>
      <c r="O124" s="53">
        <f t="shared" si="40"/>
        <v>0</v>
      </c>
      <c r="P124" s="60" t="e">
        <f t="shared" si="41"/>
        <v>#DIV/0!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6"/>
        <v>0</v>
      </c>
      <c r="H125" s="40" t="e">
        <f t="shared" si="38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0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0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1460.19</v>
      </c>
      <c r="F127" s="33">
        <v>29.76</v>
      </c>
      <c r="G127" s="49">
        <f aca="true" t="shared" si="42" ref="G127:G134">F127-E127</f>
        <v>-1430.43</v>
      </c>
      <c r="H127" s="40">
        <f>F127/E127*100</f>
        <v>2.0380909333716843</v>
      </c>
      <c r="I127" s="60">
        <f aca="true" t="shared" si="43" ref="I127:I134">F127-D127</f>
        <v>-8670.24</v>
      </c>
      <c r="J127" s="60">
        <f>F127/D127*100</f>
        <v>0.3420689655172414</v>
      </c>
      <c r="K127" s="60">
        <f>F127-2439.3</f>
        <v>-2409.54</v>
      </c>
      <c r="L127" s="140">
        <f>F127/2439.3</f>
        <v>0.012200221374984626</v>
      </c>
      <c r="M127" s="40">
        <f>E127-'січень '!E127</f>
        <v>730.09</v>
      </c>
      <c r="N127" s="40">
        <f>F127-'січень '!F127</f>
        <v>12.09</v>
      </c>
      <c r="O127" s="53">
        <f aca="true" t="shared" si="44" ref="O127:O134">N127-M127</f>
        <v>-718</v>
      </c>
      <c r="P127" s="60">
        <f>N127/M127*100</f>
        <v>1.6559602240819624</v>
      </c>
      <c r="Q127" s="60">
        <f>N127-2355</f>
        <v>-2342.91</v>
      </c>
      <c r="R127" s="140">
        <f>N127/2355</f>
        <v>0.005133757961783439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2"/>
        <v>-0.16</v>
      </c>
      <c r="H128" s="40"/>
      <c r="I128" s="60">
        <f t="shared" si="43"/>
        <v>-0.16</v>
      </c>
      <c r="J128" s="60"/>
      <c r="K128" s="60">
        <f>F128-0.3</f>
        <v>-0.45999999999999996</v>
      </c>
      <c r="L128" s="140">
        <f>F128/0.3</f>
        <v>-0.5333333333333333</v>
      </c>
      <c r="M128" s="40">
        <f>E128-'січень '!E128</f>
        <v>0</v>
      </c>
      <c r="N128" s="40">
        <f>F128-'січень '!F128</f>
        <v>0.04999999999999999</v>
      </c>
      <c r="O128" s="53">
        <f t="shared" si="44"/>
        <v>0.04999999999999999</v>
      </c>
      <c r="P128" s="60"/>
      <c r="Q128" s="60">
        <f>N128-0.1</f>
        <v>-0.05000000000000002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1460.19</v>
      </c>
      <c r="F129" s="38">
        <f>F127+F124+F128+F126</f>
        <v>38.52</v>
      </c>
      <c r="G129" s="62">
        <f t="shared" si="42"/>
        <v>-1421.67</v>
      </c>
      <c r="H129" s="72">
        <f>F129/E129*100</f>
        <v>2.6380128613399627</v>
      </c>
      <c r="I129" s="61">
        <f t="shared" si="43"/>
        <v>-8712.18</v>
      </c>
      <c r="J129" s="61">
        <f>F129/D129*100</f>
        <v>0.4401933559600947</v>
      </c>
      <c r="K129" s="61">
        <f>F129-2474.4</f>
        <v>-2435.88</v>
      </c>
      <c r="L129" s="141">
        <f>G129/2474.4</f>
        <v>-0.5745514064015519</v>
      </c>
      <c r="M129" s="62">
        <f>M124+M127+M128+M126</f>
        <v>730.09</v>
      </c>
      <c r="N129" s="62">
        <f>N124+N127+N128+N126</f>
        <v>12.14</v>
      </c>
      <c r="O129" s="61">
        <f t="shared" si="44"/>
        <v>-717.95</v>
      </c>
      <c r="P129" s="61">
        <f>N129/M129*100</f>
        <v>1.6628086948184473</v>
      </c>
      <c r="Q129" s="61">
        <f>N129-2389.7</f>
        <v>-2377.56</v>
      </c>
      <c r="R129" s="139">
        <f>N129/2389.7</f>
        <v>0.005080135581872202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-29.55</v>
      </c>
      <c r="J130" s="60">
        <f>F130/D130*100</f>
        <v>1.5000000000000002</v>
      </c>
      <c r="K130" s="60">
        <f>F130-1</f>
        <v>-0.55</v>
      </c>
      <c r="L130" s="140">
        <f>F130/1</f>
        <v>0.45</v>
      </c>
      <c r="M130" s="40">
        <f>E130-'січень '!E130</f>
        <v>0</v>
      </c>
      <c r="N130" s="40">
        <f>F130-'січень '!F130</f>
        <v>0</v>
      </c>
      <c r="O130" s="53">
        <f>N130-M130</f>
        <v>0</v>
      </c>
      <c r="P130" s="60" t="e">
        <f>N130/M130*100</f>
        <v>#DIV/0!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604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302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18.48</v>
      </c>
      <c r="F132" s="33">
        <v>0</v>
      </c>
      <c r="G132" s="49">
        <f t="shared" si="42"/>
        <v>-18.48</v>
      </c>
      <c r="H132" s="40">
        <f>F132/E132*100</f>
        <v>0</v>
      </c>
      <c r="I132" s="60">
        <f t="shared" si="43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9.24</v>
      </c>
      <c r="N132" s="40">
        <f>F132-'січень '!F132</f>
        <v>0</v>
      </c>
      <c r="O132" s="53">
        <f t="shared" si="44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3258.72</v>
      </c>
      <c r="F133" s="31">
        <f>F116+F130+F123+F129+F132+F131</f>
        <v>14176.78</v>
      </c>
      <c r="G133" s="50">
        <f t="shared" si="42"/>
        <v>10918.060000000001</v>
      </c>
      <c r="H133" s="51">
        <f>F133/E133*100</f>
        <v>435.0413659350911</v>
      </c>
      <c r="I133" s="36">
        <f t="shared" si="43"/>
        <v>-24530.905</v>
      </c>
      <c r="J133" s="36">
        <f>F133/D133*100</f>
        <v>36.62523346462079</v>
      </c>
      <c r="K133" s="36">
        <f>F133-18698.1</f>
        <v>-4521.319999999998</v>
      </c>
      <c r="L133" s="138">
        <f>F133/18698.1</f>
        <v>0.7581936132548228</v>
      </c>
      <c r="M133" s="31">
        <f>M116+M130+M123+M129+M132+M131</f>
        <v>1629.3500000000001</v>
      </c>
      <c r="N133" s="31">
        <f>N116+N130+N123+N129+N132+N131</f>
        <v>6071.820000000002</v>
      </c>
      <c r="O133" s="36">
        <f t="shared" si="44"/>
        <v>4442.470000000002</v>
      </c>
      <c r="P133" s="36">
        <f>N133/M133*100</f>
        <v>372.6528983950657</v>
      </c>
      <c r="Q133" s="36">
        <f>N133-11501.6</f>
        <v>-5429.779999999998</v>
      </c>
      <c r="R133" s="138">
        <f>N133/11501.6</f>
        <v>0.5279108993531336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75802.82</v>
      </c>
      <c r="F134" s="31">
        <f>F106+F133</f>
        <v>62959.74</v>
      </c>
      <c r="G134" s="50">
        <f t="shared" si="42"/>
        <v>-12843.080000000009</v>
      </c>
      <c r="H134" s="51">
        <f>F134/E134*100</f>
        <v>83.05725301512528</v>
      </c>
      <c r="I134" s="36">
        <f t="shared" si="43"/>
        <v>-512787.845</v>
      </c>
      <c r="J134" s="36">
        <f>F134/D134*100</f>
        <v>10.935302490239712</v>
      </c>
      <c r="K134" s="36">
        <f>F134-93999</f>
        <v>-31039.260000000002</v>
      </c>
      <c r="L134" s="138">
        <f>F134/93999</f>
        <v>0.6697915935275907</v>
      </c>
      <c r="M134" s="22">
        <f>M106+M133</f>
        <v>38911.35</v>
      </c>
      <c r="N134" s="22">
        <f>N106+N133</f>
        <v>20086.78</v>
      </c>
      <c r="O134" s="36">
        <f t="shared" si="44"/>
        <v>-18824.57</v>
      </c>
      <c r="P134" s="36">
        <f>N134/M134*100</f>
        <v>51.62190466277834</v>
      </c>
      <c r="Q134" s="36">
        <f>N134-52280.8</f>
        <v>-32194.020000000004</v>
      </c>
      <c r="R134" s="138">
        <f>N134/52280.8</f>
        <v>0.3842094994720815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9</v>
      </c>
      <c r="D136" s="4" t="s">
        <v>118</v>
      </c>
    </row>
    <row r="137" spans="2:17" ht="31.5">
      <c r="B137" s="78" t="s">
        <v>154</v>
      </c>
      <c r="C137" s="39">
        <f>IF(O106&lt;0,ABS(O106/C136),0)</f>
        <v>2585.226666666667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41687</v>
      </c>
      <c r="D138" s="39">
        <v>707.6</v>
      </c>
      <c r="N138" s="169"/>
      <c r="O138" s="169"/>
    </row>
    <row r="139" spans="3:15" ht="15.75">
      <c r="C139" s="120">
        <v>41684</v>
      </c>
      <c r="D139" s="39">
        <v>2088.7</v>
      </c>
      <c r="F139" s="4" t="s">
        <v>166</v>
      </c>
      <c r="G139" s="170" t="s">
        <v>151</v>
      </c>
      <c r="H139" s="170"/>
      <c r="I139" s="115">
        <f>'[1]залишки  (2)'!$G$9/1000</f>
        <v>13825.22196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41683</v>
      </c>
      <c r="D140" s="39">
        <v>768.3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f>'[1]залишки  (2)'!$G$8/1000</f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f>'[1]залишки  (2)'!$G$6/1000</f>
        <v>117393.85856000001</v>
      </c>
      <c r="E142" s="80"/>
      <c r="F142" s="100" t="s">
        <v>147</v>
      </c>
      <c r="G142" s="170" t="s">
        <v>149</v>
      </c>
      <c r="H142" s="170"/>
      <c r="I142" s="116">
        <f>'[1]залишки  (2)'!$G$10/1000</f>
        <v>103568.6366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56" sqref="F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190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181</v>
      </c>
      <c r="N3" s="176" t="s">
        <v>180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153</v>
      </c>
      <c r="F4" s="160" t="s">
        <v>116</v>
      </c>
      <c r="G4" s="162" t="s">
        <v>175</v>
      </c>
      <c r="H4" s="164" t="s">
        <v>176</v>
      </c>
      <c r="I4" s="166" t="s">
        <v>177</v>
      </c>
      <c r="J4" s="172" t="s">
        <v>178</v>
      </c>
      <c r="K4" s="125" t="s">
        <v>174</v>
      </c>
      <c r="L4" s="132" t="s">
        <v>173</v>
      </c>
      <c r="M4" s="155"/>
      <c r="N4" s="174" t="s">
        <v>189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179</v>
      </c>
      <c r="L5" s="159"/>
      <c r="M5" s="155"/>
      <c r="N5" s="175"/>
      <c r="O5" s="167"/>
      <c r="P5" s="176"/>
      <c r="Q5" s="158" t="s">
        <v>182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223265.1</v>
      </c>
      <c r="E8" s="22">
        <f>E10+E19+E33+E56+E68</f>
        <v>34205</v>
      </c>
      <c r="F8" s="22">
        <f>F10+F19+F33+F56+F68+F30</f>
        <v>33748.16</v>
      </c>
      <c r="G8" s="22">
        <f aca="true" t="shared" si="0" ref="G8:G30">F8-E8</f>
        <v>-456.8399999999965</v>
      </c>
      <c r="H8" s="51">
        <f>F8/E8*100</f>
        <v>98.6644057886274</v>
      </c>
      <c r="I8" s="36">
        <f aca="true" t="shared" si="1" ref="I8:I17">F8-D8</f>
        <v>-189516.94</v>
      </c>
      <c r="J8" s="36">
        <f aca="true" t="shared" si="2" ref="J8:J14">F8/D8*100</f>
        <v>15.115734613246765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34205</v>
      </c>
      <c r="N8" s="22">
        <f>N10+N19+N33+N56+N68+N30</f>
        <v>33748.16</v>
      </c>
      <c r="O8" s="36">
        <f aca="true" t="shared" si="3" ref="O8:O55">N8-M8</f>
        <v>-456.8399999999965</v>
      </c>
      <c r="P8" s="36">
        <f>F8/M8*100</f>
        <v>98.6644057886274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-153651.89</v>
      </c>
      <c r="J9" s="56">
        <f t="shared" si="2"/>
        <v>14.742043058484075</v>
      </c>
      <c r="K9" s="56"/>
      <c r="L9" s="56"/>
      <c r="M9" s="20">
        <f>M10+M17</f>
        <v>27150</v>
      </c>
      <c r="N9" s="20">
        <f>N10+N17</f>
        <v>26568.11</v>
      </c>
      <c r="O9" s="36">
        <f t="shared" si="3"/>
        <v>-581.8899999999994</v>
      </c>
      <c r="P9" s="56">
        <f>F9/M9*100</f>
        <v>97.85675874769798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180220</v>
      </c>
      <c r="E10" s="41">
        <v>27150</v>
      </c>
      <c r="F10" s="40">
        <v>26568.11</v>
      </c>
      <c r="G10" s="49">
        <f t="shared" si="0"/>
        <v>-581.8899999999994</v>
      </c>
      <c r="H10" s="40">
        <f aca="true" t="shared" si="4" ref="H10:H17">F10/E10*100</f>
        <v>97.85675874769798</v>
      </c>
      <c r="I10" s="56">
        <f t="shared" si="1"/>
        <v>-153651.89</v>
      </c>
      <c r="J10" s="56">
        <f t="shared" si="2"/>
        <v>14.742043058484075</v>
      </c>
      <c r="K10" s="56">
        <f>F10-26732.4</f>
        <v>-164.29000000000087</v>
      </c>
      <c r="L10" s="56">
        <f>F10/26732.4*100</f>
        <v>99.38542742140622</v>
      </c>
      <c r="M10" s="40">
        <f>E10</f>
        <v>27150</v>
      </c>
      <c r="N10" s="40">
        <f>F10</f>
        <v>26568.11</v>
      </c>
      <c r="O10" s="53">
        <f t="shared" si="3"/>
        <v>-581.8899999999994</v>
      </c>
      <c r="P10" s="56">
        <f aca="true" t="shared" si="5" ref="P10:P17">N10/M10*100</f>
        <v>97.85675874769798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358.81</v>
      </c>
      <c r="G19" s="49">
        <f t="shared" si="0"/>
        <v>258.81</v>
      </c>
      <c r="H19" s="40">
        <f aca="true" t="shared" si="8" ref="H19:H28">F19/E19*100</f>
        <v>358.81</v>
      </c>
      <c r="I19" s="56">
        <f aca="true" t="shared" si="9" ref="I19:I28">F19-D19</f>
        <v>-241.19</v>
      </c>
      <c r="J19" s="56">
        <f aca="true" t="shared" si="10" ref="J19:J28">F19/D19*100</f>
        <v>59.80166666666666</v>
      </c>
      <c r="K19" s="56">
        <f>F19-194.7</f>
        <v>164.11</v>
      </c>
      <c r="L19" s="56">
        <f>F19/194.7*100</f>
        <v>184.28864920390345</v>
      </c>
      <c r="M19" s="40">
        <f t="shared" si="6"/>
        <v>100</v>
      </c>
      <c r="N19" s="40">
        <f t="shared" si="7"/>
        <v>358.81</v>
      </c>
      <c r="O19" s="53">
        <f t="shared" si="3"/>
        <v>258.81</v>
      </c>
      <c r="P19" s="56">
        <f aca="true" t="shared" si="11" ref="P19:P28">N19/M19*100</f>
        <v>358.81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9">F20-194.7</f>
        <v>-194.7</v>
      </c>
      <c r="L20" s="56">
        <f aca="true" t="shared" si="13" ref="L20:L29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184</v>
      </c>
      <c r="C29" s="185">
        <v>11010232</v>
      </c>
      <c r="D29" s="41"/>
      <c r="E29" s="41"/>
      <c r="F29" s="188">
        <v>358.79</v>
      </c>
      <c r="G29" s="49"/>
      <c r="H29" s="40"/>
      <c r="I29" s="56"/>
      <c r="J29" s="56"/>
      <c r="K29" s="187">
        <f>F29-160.03</f>
        <v>198.76000000000002</v>
      </c>
      <c r="L29" s="187">
        <f>F29/160.03*100</f>
        <v>224.20171217896646</v>
      </c>
      <c r="M29" s="40"/>
      <c r="N29" s="40">
        <f t="shared" si="7"/>
        <v>358.79</v>
      </c>
      <c r="O29" s="53"/>
      <c r="P29" s="56"/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0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38945</v>
      </c>
      <c r="E33" s="41">
        <v>6400</v>
      </c>
      <c r="F33" s="40">
        <v>6293.29</v>
      </c>
      <c r="G33" s="49">
        <f aca="true" t="shared" si="14" ref="G33:G55">F33-E33</f>
        <v>-106.71000000000004</v>
      </c>
      <c r="H33" s="40">
        <f aca="true" t="shared" si="15" ref="H33:H55">F33/E33*100</f>
        <v>98.33265625</v>
      </c>
      <c r="I33" s="56">
        <f>F33-D33</f>
        <v>-32651.71</v>
      </c>
      <c r="J33" s="56">
        <f aca="true" t="shared" si="16" ref="J33:J55">F33/D33*100</f>
        <v>16.159429965335733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6400</v>
      </c>
      <c r="N33" s="40">
        <f t="shared" si="7"/>
        <v>6293.29</v>
      </c>
      <c r="O33" s="53">
        <f t="shared" si="3"/>
        <v>-106.71000000000004</v>
      </c>
      <c r="P33" s="56">
        <f aca="true" t="shared" si="17" ref="P33:P55">N33/M33*100</f>
        <v>98.33265625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5">F34-6172.8</f>
        <v>-6172.8</v>
      </c>
      <c r="L34" s="56">
        <f aca="true" t="shared" si="20" ref="L34:L55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185</v>
      </c>
      <c r="C55" s="65"/>
      <c r="D55" s="186">
        <v>28580</v>
      </c>
      <c r="E55" s="186">
        <v>4750</v>
      </c>
      <c r="F55" s="188">
        <v>4687.91</v>
      </c>
      <c r="G55" s="186">
        <f t="shared" si="14"/>
        <v>-62.090000000000146</v>
      </c>
      <c r="H55" s="188">
        <f t="shared" si="15"/>
        <v>98.69284210526315</v>
      </c>
      <c r="I55" s="187">
        <f t="shared" si="18"/>
        <v>-23892.09</v>
      </c>
      <c r="J55" s="187">
        <f t="shared" si="16"/>
        <v>16.402764170748775</v>
      </c>
      <c r="K55" s="187">
        <f>F55-4574.19</f>
        <v>113.72000000000025</v>
      </c>
      <c r="L55" s="187">
        <f>F55/4574.19*100</f>
        <v>102.48612322618868</v>
      </c>
      <c r="M55" s="40">
        <f t="shared" si="6"/>
        <v>4750</v>
      </c>
      <c r="N55" s="40">
        <f t="shared" si="7"/>
        <v>4687.91</v>
      </c>
      <c r="O55" s="53">
        <f t="shared" si="3"/>
        <v>-62.090000000000146</v>
      </c>
      <c r="P55" s="56">
        <f t="shared" si="17"/>
        <v>98.69284210526315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3500</v>
      </c>
      <c r="E56" s="41">
        <v>555</v>
      </c>
      <c r="F56" s="40">
        <v>527.8</v>
      </c>
      <c r="G56" s="49">
        <f aca="true" t="shared" si="21" ref="G56:G72">F56-E56</f>
        <v>-27.200000000000045</v>
      </c>
      <c r="H56" s="40">
        <f aca="true" t="shared" si="22" ref="H56:H67">F56/E56*100</f>
        <v>95.09909909909909</v>
      </c>
      <c r="I56" s="56">
        <f aca="true" t="shared" si="23" ref="I56:I72">F56-D56</f>
        <v>-2972.2</v>
      </c>
      <c r="J56" s="56">
        <f aca="true" t="shared" si="24" ref="J56:J72">F56/D56*100</f>
        <v>15.079999999999998</v>
      </c>
      <c r="K56" s="56">
        <f>F56-501.4</f>
        <v>26.399999999999977</v>
      </c>
      <c r="L56" s="56">
        <f>F56/501.4*100</f>
        <v>105.26525727961706</v>
      </c>
      <c r="M56" s="40">
        <f t="shared" si="6"/>
        <v>555</v>
      </c>
      <c r="N56" s="40">
        <f t="shared" si="7"/>
        <v>527.8</v>
      </c>
      <c r="O56" s="53">
        <f aca="true" t="shared" si="25" ref="O56:O72">N56-M56</f>
        <v>-27.200000000000045</v>
      </c>
      <c r="P56" s="56">
        <f aca="true" t="shared" si="26" ref="P56:P67">N56/M56*100</f>
        <v>95.09909909909909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>F58</f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>F59</f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>F60</f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>F61</f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>F62</f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>F63</f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>F64</f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>F65</f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>F66</f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>F67</f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</v>
      </c>
      <c r="F68" s="40">
        <v>0.15</v>
      </c>
      <c r="G68" s="49">
        <f t="shared" si="21"/>
        <v>0.15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</v>
      </c>
      <c r="N68" s="40">
        <f t="shared" si="7"/>
        <v>0.15</v>
      </c>
      <c r="O68" s="53">
        <f t="shared" si="25"/>
        <v>0.15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7706.1</v>
      </c>
      <c r="E74" s="22">
        <f>E77+E86+E87+E88+E89+E95+E96+E97+E99+E103</f>
        <v>1056.1</v>
      </c>
      <c r="F74" s="22">
        <f>F77+F86+F88+F89+F94+F95+F96+F97+F99+F103+F87</f>
        <v>1017.63</v>
      </c>
      <c r="G74" s="50">
        <f aca="true" t="shared" si="27" ref="G74:G92">F74-E74</f>
        <v>-38.469999999999914</v>
      </c>
      <c r="H74" s="51">
        <f aca="true" t="shared" si="28" ref="H74:H86">F74/E74*100</f>
        <v>96.3573525234353</v>
      </c>
      <c r="I74" s="36">
        <f aca="true" t="shared" si="29" ref="I74:I92">F74-D74</f>
        <v>-6688.47</v>
      </c>
      <c r="J74" s="36">
        <f aca="true" t="shared" si="30" ref="J74:J92">F74/D74*100</f>
        <v>13.205512516058707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1056.1</v>
      </c>
      <c r="N74" s="22">
        <f>N77+N86+N88+N89+N94+N95+N96+N97+N99+N32+N103+N87</f>
        <v>1017.63</v>
      </c>
      <c r="O74" s="55">
        <f aca="true" t="shared" si="31" ref="O74:O92">N74-M74</f>
        <v>-38.469999999999914</v>
      </c>
      <c r="P74" s="36">
        <f>N74/M74*100</f>
        <v>96.3573525234353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7"/>
        <v>#REF!</v>
      </c>
      <c r="H75" s="40" t="e">
        <f t="shared" si="28"/>
        <v>#REF!</v>
      </c>
      <c r="I75" s="56" t="e">
        <f t="shared" si="29"/>
        <v>#REF!</v>
      </c>
      <c r="J75" s="56" t="e">
        <f t="shared" si="30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1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7"/>
        <v>0</v>
      </c>
      <c r="H76" s="40" t="e">
        <f t="shared" si="28"/>
        <v>#DIV/0!</v>
      </c>
      <c r="I76" s="56" t="e">
        <f t="shared" si="29"/>
        <v>#REF!</v>
      </c>
      <c r="J76" s="56" t="e">
        <f t="shared" si="30"/>
        <v>#REF!</v>
      </c>
      <c r="K76" s="56"/>
      <c r="L76" s="56"/>
      <c r="M76" s="59"/>
      <c r="N76" s="59"/>
      <c r="O76" s="53">
        <f t="shared" si="31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671</v>
      </c>
      <c r="E77" s="41">
        <v>1</v>
      </c>
      <c r="F77" s="57">
        <v>0</v>
      </c>
      <c r="G77" s="49">
        <f t="shared" si="27"/>
        <v>-1</v>
      </c>
      <c r="H77" s="40">
        <f t="shared" si="28"/>
        <v>0</v>
      </c>
      <c r="I77" s="56">
        <f t="shared" si="29"/>
        <v>-671</v>
      </c>
      <c r="J77" s="56">
        <f t="shared" si="30"/>
        <v>0</v>
      </c>
      <c r="K77" s="56">
        <f>F77-0.9</f>
        <v>-0.9</v>
      </c>
      <c r="L77" s="56">
        <f>F77/0.9*100</f>
        <v>0</v>
      </c>
      <c r="M77" s="40">
        <f>E77</f>
        <v>1</v>
      </c>
      <c r="N77" s="40">
        <f>F77</f>
        <v>0</v>
      </c>
      <c r="O77" s="53">
        <f t="shared" si="31"/>
        <v>-1</v>
      </c>
      <c r="P77" s="56">
        <f aca="true" t="shared" si="32" ref="P77:P86">N77/M77*100</f>
        <v>0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7"/>
        <v>0</v>
      </c>
      <c r="H78" s="40" t="e">
        <f t="shared" si="28"/>
        <v>#DIV/0!</v>
      </c>
      <c r="I78" s="56">
        <f t="shared" si="29"/>
        <v>0</v>
      </c>
      <c r="J78" s="56" t="e">
        <f t="shared" si="30"/>
        <v>#DIV/0!</v>
      </c>
      <c r="K78" s="56"/>
      <c r="L78" s="56">
        <f aca="true" t="shared" si="33" ref="L78:L101">F78</f>
        <v>0</v>
      </c>
      <c r="M78" s="40">
        <f aca="true" t="shared" si="34" ref="M78:M105">E78</f>
        <v>0</v>
      </c>
      <c r="N78" s="40">
        <f aca="true" t="shared" si="35" ref="N78:N105">F78</f>
        <v>0</v>
      </c>
      <c r="O78" s="53">
        <f t="shared" si="31"/>
        <v>0</v>
      </c>
      <c r="P78" s="56" t="e">
        <f t="shared" si="32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7"/>
        <v>0</v>
      </c>
      <c r="H79" s="40" t="e">
        <f t="shared" si="28"/>
        <v>#DIV/0!</v>
      </c>
      <c r="I79" s="56">
        <f t="shared" si="29"/>
        <v>0</v>
      </c>
      <c r="J79" s="56" t="e">
        <f t="shared" si="30"/>
        <v>#DIV/0!</v>
      </c>
      <c r="K79" s="56"/>
      <c r="L79" s="56">
        <f t="shared" si="33"/>
        <v>0</v>
      </c>
      <c r="M79" s="40">
        <f t="shared" si="34"/>
        <v>0</v>
      </c>
      <c r="N79" s="40">
        <f t="shared" si="35"/>
        <v>0</v>
      </c>
      <c r="O79" s="53">
        <f t="shared" si="31"/>
        <v>0</v>
      </c>
      <c r="P79" s="56" t="e">
        <f t="shared" si="32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7"/>
        <v>0</v>
      </c>
      <c r="H80" s="40" t="e">
        <f t="shared" si="28"/>
        <v>#DIV/0!</v>
      </c>
      <c r="I80" s="56">
        <f t="shared" si="29"/>
        <v>0</v>
      </c>
      <c r="J80" s="56" t="e">
        <f t="shared" si="30"/>
        <v>#DIV/0!</v>
      </c>
      <c r="K80" s="56"/>
      <c r="L80" s="56">
        <f t="shared" si="33"/>
        <v>0</v>
      </c>
      <c r="M80" s="40">
        <f t="shared" si="34"/>
        <v>0</v>
      </c>
      <c r="N80" s="40">
        <f t="shared" si="35"/>
        <v>0</v>
      </c>
      <c r="O80" s="53">
        <f t="shared" si="31"/>
        <v>0</v>
      </c>
      <c r="P80" s="56" t="e">
        <f t="shared" si="32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7"/>
        <v>0</v>
      </c>
      <c r="H81" s="40" t="e">
        <f t="shared" si="28"/>
        <v>#DIV/0!</v>
      </c>
      <c r="I81" s="56">
        <f t="shared" si="29"/>
        <v>0</v>
      </c>
      <c r="J81" s="56" t="e">
        <f t="shared" si="30"/>
        <v>#DIV/0!</v>
      </c>
      <c r="K81" s="56"/>
      <c r="L81" s="56">
        <f t="shared" si="33"/>
        <v>0</v>
      </c>
      <c r="M81" s="40">
        <f t="shared" si="34"/>
        <v>0</v>
      </c>
      <c r="N81" s="40">
        <f t="shared" si="35"/>
        <v>0</v>
      </c>
      <c r="O81" s="53">
        <f t="shared" si="31"/>
        <v>0</v>
      </c>
      <c r="P81" s="56" t="e">
        <f t="shared" si="32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7"/>
        <v>0</v>
      </c>
      <c r="H82" s="40" t="e">
        <f t="shared" si="28"/>
        <v>#DIV/0!</v>
      </c>
      <c r="I82" s="56">
        <f t="shared" si="29"/>
        <v>0</v>
      </c>
      <c r="J82" s="56" t="e">
        <f t="shared" si="30"/>
        <v>#DIV/0!</v>
      </c>
      <c r="K82" s="56"/>
      <c r="L82" s="56">
        <f t="shared" si="33"/>
        <v>0</v>
      </c>
      <c r="M82" s="40">
        <f t="shared" si="34"/>
        <v>0</v>
      </c>
      <c r="N82" s="40">
        <f t="shared" si="35"/>
        <v>0</v>
      </c>
      <c r="O82" s="53">
        <f t="shared" si="31"/>
        <v>0</v>
      </c>
      <c r="P82" s="56" t="e">
        <f t="shared" si="32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7"/>
        <v>0</v>
      </c>
      <c r="H83" s="40" t="e">
        <f t="shared" si="28"/>
        <v>#DIV/0!</v>
      </c>
      <c r="I83" s="56">
        <f t="shared" si="29"/>
        <v>0</v>
      </c>
      <c r="J83" s="56" t="e">
        <f t="shared" si="30"/>
        <v>#DIV/0!</v>
      </c>
      <c r="K83" s="56"/>
      <c r="L83" s="56">
        <f t="shared" si="33"/>
        <v>0</v>
      </c>
      <c r="M83" s="40">
        <f t="shared" si="34"/>
        <v>0</v>
      </c>
      <c r="N83" s="40">
        <f t="shared" si="35"/>
        <v>0</v>
      </c>
      <c r="O83" s="53">
        <f t="shared" si="31"/>
        <v>0</v>
      </c>
      <c r="P83" s="56" t="e">
        <f t="shared" si="32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7"/>
        <v>0</v>
      </c>
      <c r="H84" s="40" t="e">
        <f t="shared" si="28"/>
        <v>#DIV/0!</v>
      </c>
      <c r="I84" s="56">
        <f t="shared" si="29"/>
        <v>0</v>
      </c>
      <c r="J84" s="56" t="e">
        <f t="shared" si="30"/>
        <v>#DIV/0!</v>
      </c>
      <c r="K84" s="56"/>
      <c r="L84" s="56">
        <f t="shared" si="33"/>
        <v>0</v>
      </c>
      <c r="M84" s="40">
        <f t="shared" si="34"/>
        <v>0</v>
      </c>
      <c r="N84" s="40">
        <f t="shared" si="35"/>
        <v>0</v>
      </c>
      <c r="O84" s="53">
        <f t="shared" si="31"/>
        <v>0</v>
      </c>
      <c r="P84" s="56" t="e">
        <f t="shared" si="32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7"/>
        <v>0</v>
      </c>
      <c r="H85" s="40" t="e">
        <f t="shared" si="28"/>
        <v>#DIV/0!</v>
      </c>
      <c r="I85" s="56">
        <f t="shared" si="29"/>
        <v>0</v>
      </c>
      <c r="J85" s="56" t="e">
        <f t="shared" si="30"/>
        <v>#DIV/0!</v>
      </c>
      <c r="K85" s="56"/>
      <c r="L85" s="56">
        <f t="shared" si="33"/>
        <v>0</v>
      </c>
      <c r="M85" s="40">
        <f t="shared" si="34"/>
        <v>0</v>
      </c>
      <c r="N85" s="40">
        <f t="shared" si="35"/>
        <v>0</v>
      </c>
      <c r="O85" s="53">
        <f t="shared" si="31"/>
        <v>0</v>
      </c>
      <c r="P85" s="56" t="e">
        <f t="shared" si="32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700</v>
      </c>
      <c r="E86" s="41">
        <v>0</v>
      </c>
      <c r="F86" s="57">
        <v>0</v>
      </c>
      <c r="G86" s="49">
        <f t="shared" si="27"/>
        <v>0</v>
      </c>
      <c r="H86" s="40" t="e">
        <f t="shared" si="28"/>
        <v>#DIV/0!</v>
      </c>
      <c r="I86" s="56">
        <f t="shared" si="29"/>
        <v>-700</v>
      </c>
      <c r="J86" s="56">
        <f t="shared" si="30"/>
        <v>0</v>
      </c>
      <c r="K86" s="56">
        <f>F86-0</f>
        <v>0</v>
      </c>
      <c r="L86" s="56" t="e">
        <f>F86/0*100</f>
        <v>#DIV/0!</v>
      </c>
      <c r="M86" s="40">
        <f t="shared" si="34"/>
        <v>0</v>
      </c>
      <c r="N86" s="40">
        <f t="shared" si="35"/>
        <v>0</v>
      </c>
      <c r="O86" s="53">
        <f t="shared" si="31"/>
        <v>0</v>
      </c>
      <c r="P86" s="56" t="e">
        <f t="shared" si="32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4"/>
        <v>0</v>
      </c>
      <c r="N87" s="40">
        <f t="shared" si="35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0.1</v>
      </c>
      <c r="F88" s="57">
        <v>0</v>
      </c>
      <c r="G88" s="49">
        <f t="shared" si="27"/>
        <v>-0.1</v>
      </c>
      <c r="H88" s="40">
        <f>F88/E88*100</f>
        <v>0</v>
      </c>
      <c r="I88" s="56">
        <f t="shared" si="29"/>
        <v>-5.1</v>
      </c>
      <c r="J88" s="56">
        <f t="shared" si="30"/>
        <v>0</v>
      </c>
      <c r="K88" s="56">
        <f>F88-0</f>
        <v>0</v>
      </c>
      <c r="L88" s="56" t="e">
        <f>F88/0*100</f>
        <v>#DIV/0!</v>
      </c>
      <c r="M88" s="40">
        <f t="shared" si="34"/>
        <v>0.1</v>
      </c>
      <c r="N88" s="40">
        <f t="shared" si="35"/>
        <v>0</v>
      </c>
      <c r="O88" s="53">
        <f t="shared" si="31"/>
        <v>-0.1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60</v>
      </c>
      <c r="E89" s="41">
        <v>10</v>
      </c>
      <c r="F89" s="57">
        <v>9.02</v>
      </c>
      <c r="G89" s="49">
        <f t="shared" si="27"/>
        <v>-0.9800000000000004</v>
      </c>
      <c r="H89" s="40">
        <f>F89/E89*100</f>
        <v>90.19999999999999</v>
      </c>
      <c r="I89" s="56">
        <f t="shared" si="29"/>
        <v>-50.980000000000004</v>
      </c>
      <c r="J89" s="56">
        <f t="shared" si="30"/>
        <v>15.033333333333331</v>
      </c>
      <c r="K89" s="56">
        <f>F89-11.9</f>
        <v>-2.880000000000001</v>
      </c>
      <c r="L89" s="56">
        <f>F89/11.9*100</f>
        <v>75.7983193277311</v>
      </c>
      <c r="M89" s="40">
        <f t="shared" si="34"/>
        <v>10</v>
      </c>
      <c r="N89" s="40">
        <f t="shared" si="35"/>
        <v>9.02</v>
      </c>
      <c r="O89" s="53">
        <f t="shared" si="31"/>
        <v>-0.9800000000000004</v>
      </c>
      <c r="P89" s="56">
        <f>N89/M89*100</f>
        <v>90.19999999999999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7"/>
        <v>0</v>
      </c>
      <c r="H90" s="40" t="e">
        <f>F90/E90*100</f>
        <v>#DIV/0!</v>
      </c>
      <c r="I90" s="56">
        <f t="shared" si="29"/>
        <v>0</v>
      </c>
      <c r="J90" s="56" t="e">
        <f t="shared" si="30"/>
        <v>#DIV/0!</v>
      </c>
      <c r="K90" s="56"/>
      <c r="L90" s="56">
        <f t="shared" si="33"/>
        <v>0</v>
      </c>
      <c r="M90" s="40">
        <f t="shared" si="34"/>
        <v>0</v>
      </c>
      <c r="N90" s="40">
        <f t="shared" si="35"/>
        <v>0</v>
      </c>
      <c r="O90" s="53">
        <f t="shared" si="31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7"/>
        <v>0</v>
      </c>
      <c r="H91" s="40" t="e">
        <f>F91/E91*100</f>
        <v>#DIV/0!</v>
      </c>
      <c r="I91" s="56">
        <f t="shared" si="29"/>
        <v>0</v>
      </c>
      <c r="J91" s="56" t="e">
        <f t="shared" si="30"/>
        <v>#DIV/0!</v>
      </c>
      <c r="K91" s="56"/>
      <c r="L91" s="56">
        <f t="shared" si="33"/>
        <v>0</v>
      </c>
      <c r="M91" s="40">
        <f t="shared" si="34"/>
        <v>0</v>
      </c>
      <c r="N91" s="40">
        <f t="shared" si="35"/>
        <v>0</v>
      </c>
      <c r="O91" s="53">
        <f t="shared" si="31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7"/>
        <v>0</v>
      </c>
      <c r="H92" s="40" t="e">
        <f>F92/E92*100</f>
        <v>#DIV/0!</v>
      </c>
      <c r="I92" s="56">
        <f t="shared" si="29"/>
        <v>0</v>
      </c>
      <c r="J92" s="56" t="e">
        <f t="shared" si="30"/>
        <v>#DIV/0!</v>
      </c>
      <c r="K92" s="56"/>
      <c r="L92" s="56">
        <f t="shared" si="33"/>
        <v>0</v>
      </c>
      <c r="M92" s="40">
        <f t="shared" si="34"/>
        <v>0</v>
      </c>
      <c r="N92" s="40">
        <f t="shared" si="35"/>
        <v>0</v>
      </c>
      <c r="O92" s="53">
        <f t="shared" si="31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3"/>
        <v>0</v>
      </c>
      <c r="M93" s="40">
        <f t="shared" si="34"/>
        <v>0</v>
      </c>
      <c r="N93" s="40">
        <f t="shared" si="35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6" ref="G94:G101">F94-E94</f>
        <v>0</v>
      </c>
      <c r="H94" s="40"/>
      <c r="I94" s="56">
        <f aca="true" t="shared" si="37" ref="I94:I100">F94-D94</f>
        <v>0</v>
      </c>
      <c r="J94" s="56"/>
      <c r="K94" s="56"/>
      <c r="L94" s="56">
        <f t="shared" si="33"/>
        <v>0</v>
      </c>
      <c r="M94" s="40">
        <f t="shared" si="34"/>
        <v>0</v>
      </c>
      <c r="N94" s="40">
        <f t="shared" si="35"/>
        <v>0</v>
      </c>
      <c r="O94" s="53">
        <f aca="true" t="shared" si="38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647.49</v>
      </c>
      <c r="G95" s="49">
        <f t="shared" si="36"/>
        <v>17.49000000000001</v>
      </c>
      <c r="H95" s="40">
        <f>F95/E95*100</f>
        <v>102.7761904761905</v>
      </c>
      <c r="I95" s="56">
        <f t="shared" si="37"/>
        <v>-3132.51</v>
      </c>
      <c r="J95" s="56">
        <f>F95/D95*100</f>
        <v>17.12936507936508</v>
      </c>
      <c r="K95" s="56">
        <f>F95-638.2</f>
        <v>9.289999999999964</v>
      </c>
      <c r="L95" s="56">
        <f>F95/638.2*100</f>
        <v>101.45565653400188</v>
      </c>
      <c r="M95" s="40">
        <f t="shared" si="34"/>
        <v>630</v>
      </c>
      <c r="N95" s="40">
        <f t="shared" si="35"/>
        <v>647.49</v>
      </c>
      <c r="O95" s="53">
        <f t="shared" si="38"/>
        <v>17.49000000000001</v>
      </c>
      <c r="P95" s="56">
        <f>N95/M95*100</f>
        <v>102.7761904761905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79.51</v>
      </c>
      <c r="G96" s="49">
        <f t="shared" si="36"/>
        <v>-5.489999999999995</v>
      </c>
      <c r="H96" s="40">
        <f>F96/E96*100</f>
        <v>93.54117647058824</v>
      </c>
      <c r="I96" s="56">
        <f t="shared" si="37"/>
        <v>-430.49</v>
      </c>
      <c r="J96" s="56">
        <f>F96/D96*100</f>
        <v>15.590196078431372</v>
      </c>
      <c r="K96" s="56">
        <f>F96-17.2</f>
        <v>62.31</v>
      </c>
      <c r="L96" s="56">
        <f>F96/17.2*100</f>
        <v>462.2674418604651</v>
      </c>
      <c r="M96" s="40">
        <f t="shared" si="34"/>
        <v>85</v>
      </c>
      <c r="N96" s="40">
        <f t="shared" si="35"/>
        <v>79.51</v>
      </c>
      <c r="O96" s="53">
        <f t="shared" si="38"/>
        <v>-5.489999999999995</v>
      </c>
      <c r="P96" s="56">
        <f>N96/M96*100</f>
        <v>93.54117647058824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6"/>
        <v>0</v>
      </c>
      <c r="H97" s="40"/>
      <c r="I97" s="56">
        <f t="shared" si="37"/>
        <v>0</v>
      </c>
      <c r="J97" s="56"/>
      <c r="K97" s="56"/>
      <c r="L97" s="56"/>
      <c r="M97" s="40">
        <f t="shared" si="34"/>
        <v>0</v>
      </c>
      <c r="N97" s="40">
        <f t="shared" si="35"/>
        <v>0</v>
      </c>
      <c r="O97" s="53">
        <f t="shared" si="38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6"/>
        <v>0</v>
      </c>
      <c r="H98" s="40" t="e">
        <f>F98/E98*100</f>
        <v>#DIV/0!</v>
      </c>
      <c r="I98" s="56">
        <f t="shared" si="37"/>
        <v>0</v>
      </c>
      <c r="J98" s="56" t="e">
        <f>F98/D98*100</f>
        <v>#DIV/0!</v>
      </c>
      <c r="K98" s="56"/>
      <c r="L98" s="56">
        <f t="shared" si="33"/>
        <v>0</v>
      </c>
      <c r="M98" s="40">
        <f t="shared" si="34"/>
        <v>0</v>
      </c>
      <c r="N98" s="40">
        <f t="shared" si="35"/>
        <v>0</v>
      </c>
      <c r="O98" s="53">
        <f t="shared" si="38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277.38</v>
      </c>
      <c r="G99" s="49">
        <f t="shared" si="36"/>
        <v>-52.620000000000005</v>
      </c>
      <c r="H99" s="40">
        <f>F99/E99*100</f>
        <v>84.05454545454545</v>
      </c>
      <c r="I99" s="56">
        <f t="shared" si="37"/>
        <v>-1702.62</v>
      </c>
      <c r="J99" s="56">
        <f>F99/D99*100</f>
        <v>14.00909090909091</v>
      </c>
      <c r="K99" s="56">
        <f>F99-236.4</f>
        <v>40.97999999999999</v>
      </c>
      <c r="L99" s="56">
        <f>F99/236.5*100</f>
        <v>117.28541226215646</v>
      </c>
      <c r="M99" s="40">
        <f t="shared" si="34"/>
        <v>330</v>
      </c>
      <c r="N99" s="40">
        <f t="shared" si="35"/>
        <v>277.38</v>
      </c>
      <c r="O99" s="53">
        <f t="shared" si="38"/>
        <v>-52.620000000000005</v>
      </c>
      <c r="P99" s="56">
        <f>N99/M99*100</f>
        <v>84.05454545454545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6"/>
        <v>0</v>
      </c>
      <c r="H100" s="40" t="e">
        <f>F100/E100*100</f>
        <v>#DIV/0!</v>
      </c>
      <c r="I100" s="56">
        <f t="shared" si="37"/>
        <v>0</v>
      </c>
      <c r="J100" s="56" t="e">
        <f>F100/D100*100</f>
        <v>#DIV/0!</v>
      </c>
      <c r="K100" s="56"/>
      <c r="L100" s="56">
        <f t="shared" si="33"/>
        <v>0</v>
      </c>
      <c r="M100" s="40">
        <f t="shared" si="34"/>
        <v>0</v>
      </c>
      <c r="N100" s="40">
        <f t="shared" si="35"/>
        <v>0</v>
      </c>
      <c r="O100" s="53">
        <f t="shared" si="38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6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3"/>
        <v>0</v>
      </c>
      <c r="M101" s="40">
        <f t="shared" si="34"/>
        <v>0</v>
      </c>
      <c r="N101" s="40">
        <f t="shared" si="35"/>
        <v>0</v>
      </c>
      <c r="O101" s="53">
        <f t="shared" si="38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86"/>
      <c r="E102" s="186"/>
      <c r="F102" s="189">
        <v>64.7</v>
      </c>
      <c r="G102" s="186"/>
      <c r="H102" s="188"/>
      <c r="I102" s="187"/>
      <c r="J102" s="187"/>
      <c r="K102" s="187">
        <f>F102-30.6</f>
        <v>34.1</v>
      </c>
      <c r="L102" s="190">
        <f>F102/30.6*100</f>
        <v>211.43790849673204</v>
      </c>
      <c r="M102" s="40">
        <f t="shared" si="34"/>
        <v>0</v>
      </c>
      <c r="N102" s="40">
        <f t="shared" si="35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9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4"/>
        <v>0</v>
      </c>
      <c r="N103" s="40">
        <f t="shared" si="35"/>
        <v>0</v>
      </c>
      <c r="O103" s="53">
        <f aca="true" t="shared" si="40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2.21</v>
      </c>
      <c r="G104" s="49">
        <f>F104-E104</f>
        <v>1.21</v>
      </c>
      <c r="H104" s="40"/>
      <c r="I104" s="56">
        <f t="shared" si="39"/>
        <v>-3.79</v>
      </c>
      <c r="J104" s="56">
        <f aca="true" t="shared" si="41" ref="J104:J109">F104/D104*100</f>
        <v>36.833333333333336</v>
      </c>
      <c r="K104" s="56">
        <f>F104-0</f>
        <v>2.21</v>
      </c>
      <c r="L104" s="56" t="e">
        <f>F104/0*100</f>
        <v>#DIV/0!</v>
      </c>
      <c r="M104" s="40">
        <f t="shared" si="34"/>
        <v>1</v>
      </c>
      <c r="N104" s="40">
        <f t="shared" si="35"/>
        <v>2.21</v>
      </c>
      <c r="O104" s="53">
        <f t="shared" si="40"/>
        <v>1.21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4"/>
        <v>0</v>
      </c>
      <c r="N105" s="40">
        <f t="shared" si="35"/>
        <v>0</v>
      </c>
      <c r="O105" s="53">
        <f t="shared" si="40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230977.2</v>
      </c>
      <c r="E106" s="22">
        <f>E8+E74+E104+E105</f>
        <v>35262.1</v>
      </c>
      <c r="F106" s="22">
        <f>F8+F74+F104+F105</f>
        <v>34768</v>
      </c>
      <c r="G106" s="50">
        <f>F106-E106</f>
        <v>-494.09999999999854</v>
      </c>
      <c r="H106" s="51">
        <f>F106/E106*100</f>
        <v>98.59877885888815</v>
      </c>
      <c r="I106" s="36">
        <f t="shared" si="39"/>
        <v>-196209.2</v>
      </c>
      <c r="J106" s="36">
        <f t="shared" si="41"/>
        <v>15.052567959088602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35262.1</v>
      </c>
      <c r="N106" s="22">
        <f>N8+N74+N104+N105</f>
        <v>34768</v>
      </c>
      <c r="O106" s="55">
        <f t="shared" si="40"/>
        <v>-494.09999999999854</v>
      </c>
      <c r="P106" s="36">
        <f>N106/M106*100</f>
        <v>98.59877885888815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180730</v>
      </c>
      <c r="E107" s="71">
        <f>E10-E18+E96</f>
        <v>27235</v>
      </c>
      <c r="F107" s="71">
        <f>F10-F18+F96</f>
        <v>26647.62</v>
      </c>
      <c r="G107" s="71">
        <f>G10-G18+G96</f>
        <v>-587.3799999999994</v>
      </c>
      <c r="H107" s="72">
        <f>F107/E107*100</f>
        <v>97.84328988434</v>
      </c>
      <c r="I107" s="52">
        <f t="shared" si="39"/>
        <v>-154082.38</v>
      </c>
      <c r="J107" s="52">
        <f t="shared" si="41"/>
        <v>14.744436452166216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27235</v>
      </c>
      <c r="N107" s="71">
        <f>N10-N18+N96</f>
        <v>26647.62</v>
      </c>
      <c r="O107" s="53">
        <f t="shared" si="40"/>
        <v>-587.380000000001</v>
      </c>
      <c r="P107" s="52">
        <f>N107/M107*100</f>
        <v>97.84328988434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8120.380000000001</v>
      </c>
      <c r="G108" s="62">
        <f>F108-E108</f>
        <v>93.28000000000247</v>
      </c>
      <c r="H108" s="72">
        <f>F108/E108*100</f>
        <v>101.16206350986039</v>
      </c>
      <c r="I108" s="52">
        <f t="shared" si="39"/>
        <v>-42126.82000000001</v>
      </c>
      <c r="J108" s="52">
        <f t="shared" si="41"/>
        <v>16.16086070467608</v>
      </c>
      <c r="K108" s="52">
        <f>F108-7757</f>
        <v>363.380000000001</v>
      </c>
      <c r="L108" s="52">
        <f>F108/7757*100</f>
        <v>104.68454299342531</v>
      </c>
      <c r="M108" s="71">
        <f>M106-M107</f>
        <v>8027.0999999999985</v>
      </c>
      <c r="N108" s="71">
        <f>N106-N107</f>
        <v>8120.380000000001</v>
      </c>
      <c r="O108" s="53">
        <f t="shared" si="40"/>
        <v>93.28000000000247</v>
      </c>
      <c r="P108" s="52">
        <f>N108/M108*100</f>
        <v>101.16206350986039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39"/>
        <v>-392918.58</v>
      </c>
      <c r="J109" s="52">
        <f t="shared" si="41"/>
        <v>6.351231343230222</v>
      </c>
      <c r="K109" s="52"/>
      <c r="L109" s="52"/>
      <c r="M109" s="122">
        <v>0</v>
      </c>
      <c r="N109" s="71">
        <f>N107</f>
        <v>26647.62</v>
      </c>
      <c r="O109" s="118">
        <f t="shared" si="40"/>
        <v>26647.62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39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183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2" ref="G113:G125">F113-E113</f>
        <v>0.18</v>
      </c>
      <c r="H113" s="40"/>
      <c r="I113" s="60">
        <f aca="true" t="shared" si="43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>E113</f>
        <v>0</v>
      </c>
      <c r="N113" s="40">
        <f>F113</f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68.14</v>
      </c>
      <c r="G114" s="49">
        <f t="shared" si="42"/>
        <v>-494.89</v>
      </c>
      <c r="H114" s="40">
        <f aca="true" t="shared" si="44" ref="H114:H125">F114/E114*100</f>
        <v>12.102374651439533</v>
      </c>
      <c r="I114" s="60">
        <f t="shared" si="43"/>
        <v>-3310.02</v>
      </c>
      <c r="J114" s="60">
        <f aca="true" t="shared" si="45" ref="J114:J120">F114/D114*100</f>
        <v>2.0170743836881617</v>
      </c>
      <c r="K114" s="60">
        <f>F114-246.7</f>
        <v>-178.56</v>
      </c>
      <c r="L114" s="60">
        <f>F114/246.7*100</f>
        <v>27.62059181191731</v>
      </c>
      <c r="M114" s="40">
        <f>E114</f>
        <v>563.03</v>
      </c>
      <c r="N114" s="40">
        <f>F114</f>
        <v>68.14</v>
      </c>
      <c r="O114" s="53">
        <f aca="true" t="shared" si="46" ref="O114:O125">N114-M114</f>
        <v>-494.89</v>
      </c>
      <c r="P114" s="60">
        <f>N114/M114*100</f>
        <v>12.102374651439533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24.53</v>
      </c>
      <c r="G115" s="49">
        <f t="shared" si="42"/>
        <v>-0.46999999999999886</v>
      </c>
      <c r="H115" s="40">
        <f t="shared" si="44"/>
        <v>98.12</v>
      </c>
      <c r="I115" s="60">
        <f t="shared" si="43"/>
        <v>-125.47</v>
      </c>
      <c r="J115" s="60">
        <f t="shared" si="45"/>
        <v>16.353333333333335</v>
      </c>
      <c r="K115" s="60">
        <f>F115-22.5</f>
        <v>2.030000000000001</v>
      </c>
      <c r="L115" s="60">
        <f>F115/22.5*100</f>
        <v>109.02222222222223</v>
      </c>
      <c r="M115" s="40">
        <f>E115</f>
        <v>25</v>
      </c>
      <c r="N115" s="40">
        <f>F115</f>
        <v>24.53</v>
      </c>
      <c r="O115" s="53">
        <f t="shared" si="46"/>
        <v>-0.46999999999999886</v>
      </c>
      <c r="P115" s="60">
        <f>N115/M115*100</f>
        <v>98.12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92.85000000000001</v>
      </c>
      <c r="G116" s="62">
        <f t="shared" si="42"/>
        <v>-495.17999999999995</v>
      </c>
      <c r="H116" s="72">
        <f t="shared" si="44"/>
        <v>15.790010713739097</v>
      </c>
      <c r="I116" s="61">
        <f t="shared" si="43"/>
        <v>-3435.31</v>
      </c>
      <c r="J116" s="61">
        <f t="shared" si="45"/>
        <v>2.631683370368691</v>
      </c>
      <c r="K116" s="61">
        <f>F116-270.1</f>
        <v>-177.25</v>
      </c>
      <c r="L116" s="61">
        <f>F116/270.1*100</f>
        <v>34.3761569788967</v>
      </c>
      <c r="M116" s="62">
        <f>M114+M115+M113</f>
        <v>588.03</v>
      </c>
      <c r="N116" s="38">
        <f>SUM(N113:N115)</f>
        <v>92.85000000000001</v>
      </c>
      <c r="O116" s="61">
        <f t="shared" si="46"/>
        <v>-495.17999999999995</v>
      </c>
      <c r="P116" s="61">
        <f>N116/M116*100</f>
        <v>15.790010713739097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2"/>
        <v>0</v>
      </c>
      <c r="H117" s="40" t="e">
        <f t="shared" si="44"/>
        <v>#DIV/0!</v>
      </c>
      <c r="I117" s="60">
        <f t="shared" si="43"/>
        <v>0</v>
      </c>
      <c r="J117" s="60" t="e">
        <f t="shared" si="45"/>
        <v>#DIV/0!</v>
      </c>
      <c r="K117" s="60"/>
      <c r="L117" s="60"/>
      <c r="M117" s="41">
        <v>0</v>
      </c>
      <c r="N117" s="41">
        <f>F117</f>
        <v>0</v>
      </c>
      <c r="O117" s="53">
        <f t="shared" si="46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2"/>
        <v>54.32</v>
      </c>
      <c r="H118" s="40" t="e">
        <f t="shared" si="44"/>
        <v>#DIV/0!</v>
      </c>
      <c r="I118" s="60">
        <f t="shared" si="43"/>
        <v>54.32</v>
      </c>
      <c r="J118" s="60" t="e">
        <f t="shared" si="45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>F118</f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0</v>
      </c>
      <c r="E119" s="33">
        <v>0</v>
      </c>
      <c r="F119" s="33">
        <v>7479.86</v>
      </c>
      <c r="G119" s="49">
        <f t="shared" si="42"/>
        <v>7479.86</v>
      </c>
      <c r="H119" s="40" t="e">
        <f t="shared" si="44"/>
        <v>#DIV/0!</v>
      </c>
      <c r="I119" s="53">
        <f t="shared" si="43"/>
        <v>7479.86</v>
      </c>
      <c r="J119" s="60" t="e">
        <f t="shared" si="45"/>
        <v>#DIV/0!</v>
      </c>
      <c r="K119" s="60">
        <f>F119-6357.6</f>
        <v>1122.2599999999993</v>
      </c>
      <c r="L119" s="60">
        <f>F119/6357.6*100</f>
        <v>117.6522587139801</v>
      </c>
      <c r="M119" s="40">
        <f>E119</f>
        <v>0</v>
      </c>
      <c r="N119" s="40">
        <f>F119</f>
        <v>7479.86</v>
      </c>
      <c r="O119" s="53">
        <f t="shared" si="46"/>
        <v>7479.86</v>
      </c>
      <c r="P119" s="60" t="e">
        <f aca="true" t="shared" si="47" ref="P119:P124">N119/M119*100</f>
        <v>#DIV/0!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2"/>
        <v>0.04</v>
      </c>
      <c r="H120" s="40" t="e">
        <f t="shared" si="44"/>
        <v>#DIV/0!</v>
      </c>
      <c r="I120" s="60">
        <f t="shared" si="43"/>
        <v>0.04</v>
      </c>
      <c r="J120" s="60" t="e">
        <f t="shared" si="45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>F120</f>
        <v>0.04</v>
      </c>
      <c r="O120" s="53">
        <f t="shared" si="46"/>
        <v>0.04</v>
      </c>
      <c r="P120" s="60" t="e">
        <f t="shared" si="47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2"/>
        <v>450.01</v>
      </c>
      <c r="H121" s="40" t="e">
        <f t="shared" si="44"/>
        <v>#DIV/0!</v>
      </c>
      <c r="I121" s="60">
        <f t="shared" si="43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>F121</f>
        <v>450.01</v>
      </c>
      <c r="O121" s="53">
        <f t="shared" si="46"/>
        <v>450.01</v>
      </c>
      <c r="P121" s="60" t="e">
        <f t="shared" si="47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2"/>
        <v>1.05</v>
      </c>
      <c r="H122" s="40" t="e">
        <f t="shared" si="44"/>
        <v>#DIV/0!</v>
      </c>
      <c r="I122" s="60">
        <f t="shared" si="43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>F122</f>
        <v>1.05</v>
      </c>
      <c r="O122" s="53">
        <f t="shared" si="46"/>
        <v>1.05</v>
      </c>
      <c r="P122" s="60" t="e">
        <f t="shared" si="47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7985.28</v>
      </c>
      <c r="G123" s="62">
        <f t="shared" si="42"/>
        <v>7985.28</v>
      </c>
      <c r="H123" s="72" t="e">
        <f t="shared" si="44"/>
        <v>#DIV/0!</v>
      </c>
      <c r="I123" s="61">
        <f t="shared" si="43"/>
        <v>7985.28</v>
      </c>
      <c r="J123" s="61" t="e">
        <f>F123/D123*100</f>
        <v>#DIV/0!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0</v>
      </c>
      <c r="N123" s="62">
        <f>N119+N120+N121+N122+N118</f>
        <v>7985.28</v>
      </c>
      <c r="O123" s="61">
        <f t="shared" si="46"/>
        <v>7985.28</v>
      </c>
      <c r="P123" s="61" t="e">
        <f t="shared" si="47"/>
        <v>#DIV/0!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42"/>
        <v>0.16</v>
      </c>
      <c r="H124" s="40" t="e">
        <f t="shared" si="44"/>
        <v>#DIV/0!</v>
      </c>
      <c r="I124" s="60">
        <f t="shared" si="43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6"/>
        <v>0.16</v>
      </c>
      <c r="P124" s="60" t="e">
        <f t="shared" si="47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2"/>
        <v>0</v>
      </c>
      <c r="H125" s="40" t="e">
        <f t="shared" si="44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6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0</v>
      </c>
      <c r="E126" s="33">
        <v>0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>E126</f>
        <v>0</v>
      </c>
      <c r="N126" s="40">
        <f>F126</f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17.67</v>
      </c>
      <c r="G127" s="49">
        <f aca="true" t="shared" si="48" ref="G127:G134">F127-E127</f>
        <v>-712.4300000000001</v>
      </c>
      <c r="H127" s="40">
        <f>F127/E127*100</f>
        <v>2.4202164087111355</v>
      </c>
      <c r="I127" s="60">
        <f aca="true" t="shared" si="49" ref="I127:I134">F127-D127</f>
        <v>-4362.91</v>
      </c>
      <c r="J127" s="60">
        <f>F127/D127*100</f>
        <v>0.40337124307740074</v>
      </c>
      <c r="K127" s="60">
        <f>F127-84.2</f>
        <v>-66.53</v>
      </c>
      <c r="L127" s="60">
        <f>F127/84.2*100</f>
        <v>20.985748218527316</v>
      </c>
      <c r="M127" s="40">
        <f>E127</f>
        <v>730.1</v>
      </c>
      <c r="N127" s="40">
        <f>F127</f>
        <v>17.67</v>
      </c>
      <c r="O127" s="53">
        <f aca="true" t="shared" si="50" ref="O127:O134">N127-M127</f>
        <v>-712.4300000000001</v>
      </c>
      <c r="P127" s="60">
        <f>N127/M127*100</f>
        <v>2.4202164087111355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48"/>
        <v>-0.21</v>
      </c>
      <c r="H128" s="40"/>
      <c r="I128" s="60">
        <f t="shared" si="49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>E128</f>
        <v>0</v>
      </c>
      <c r="N128" s="40">
        <f>F128</f>
        <v>-0.21</v>
      </c>
      <c r="O128" s="53">
        <f t="shared" si="50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26.380000000000003</v>
      </c>
      <c r="G129" s="62">
        <f t="shared" si="48"/>
        <v>-703.72</v>
      </c>
      <c r="H129" s="72">
        <f>F129/E129*100</f>
        <v>3.6132036707300372</v>
      </c>
      <c r="I129" s="61">
        <f t="shared" si="49"/>
        <v>-4354.2</v>
      </c>
      <c r="J129" s="61">
        <f>F129/D129*100</f>
        <v>0.6022033611987454</v>
      </c>
      <c r="K129" s="61">
        <f>F129-84.8</f>
        <v>-58.419999999999995</v>
      </c>
      <c r="L129" s="61">
        <f>G129/84.8*100</f>
        <v>-829.8584905660379</v>
      </c>
      <c r="M129" s="62">
        <f>M124+M127+M128+M126</f>
        <v>730.1</v>
      </c>
      <c r="N129" s="62">
        <f>N124+N127+N128+N126</f>
        <v>26.380000000000003</v>
      </c>
      <c r="O129" s="61">
        <f t="shared" si="50"/>
        <v>-703.72</v>
      </c>
      <c r="P129" s="61">
        <f>N129/M129*100</f>
        <v>3.6132036707300372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0.45</v>
      </c>
      <c r="G130" s="49">
        <f>F130-E130</f>
        <v>0.45</v>
      </c>
      <c r="H130" s="40" t="e">
        <f>F130/E130*100</f>
        <v>#DIV/0!</v>
      </c>
      <c r="I130" s="60">
        <f>F130-D130</f>
        <v>0.45</v>
      </c>
      <c r="J130" s="60" t="e">
        <f>F130/D130*100</f>
        <v>#DIV/0!</v>
      </c>
      <c r="K130" s="60">
        <f>F130-0</f>
        <v>0.45</v>
      </c>
      <c r="L130" s="60">
        <f>F130/34*100</f>
        <v>1.3235294117647058</v>
      </c>
      <c r="M130" s="40">
        <f>E130</f>
        <v>0</v>
      </c>
      <c r="N130" s="40">
        <f>F130</f>
        <v>0.45</v>
      </c>
      <c r="O130" s="53">
        <f>N130-M130</f>
        <v>0.45</v>
      </c>
      <c r="P130" s="60" t="e">
        <f>N130/M130*100</f>
        <v>#DIV/0!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8"/>
        <v>-9.24</v>
      </c>
      <c r="H132" s="40">
        <f>F132/E132*100</f>
        <v>0</v>
      </c>
      <c r="I132" s="60">
        <f t="shared" si="49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50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8104.96</v>
      </c>
      <c r="G133" s="50">
        <f t="shared" si="48"/>
        <v>6475.59</v>
      </c>
      <c r="H133" s="51">
        <f>F133/E133*100</f>
        <v>497.4290676764639</v>
      </c>
      <c r="I133" s="36">
        <f t="shared" si="49"/>
        <v>-1671.21</v>
      </c>
      <c r="J133" s="36">
        <f>F133/D133*100</f>
        <v>82.90526862769366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1629.3700000000001</v>
      </c>
      <c r="N133" s="31">
        <f>N116+N130+N123+N129+N132+N131</f>
        <v>8104.96</v>
      </c>
      <c r="O133" s="36">
        <f t="shared" si="50"/>
        <v>6475.59</v>
      </c>
      <c r="P133" s="36">
        <f>N133/M133*100</f>
        <v>497.4290676764639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42872.96</v>
      </c>
      <c r="G134" s="50">
        <f t="shared" si="48"/>
        <v>5981.489999999998</v>
      </c>
      <c r="H134" s="51">
        <f>F134/E134*100</f>
        <v>116.21374805612245</v>
      </c>
      <c r="I134" s="36">
        <f t="shared" si="49"/>
        <v>-197880.41000000003</v>
      </c>
      <c r="J134" s="36">
        <f>F134/D134*100</f>
        <v>17.807833801038793</v>
      </c>
      <c r="K134" s="36">
        <f>F134-41718.2</f>
        <v>1154.760000000002</v>
      </c>
      <c r="L134" s="36">
        <f>F134/41718.2*100</f>
        <v>102.76800053693593</v>
      </c>
      <c r="M134" s="22">
        <f>M106+M133</f>
        <v>36891.47</v>
      </c>
      <c r="N134" s="22">
        <f>N106+N133</f>
        <v>42872.96</v>
      </c>
      <c r="O134" s="36">
        <f t="shared" si="50"/>
        <v>5981.489999999998</v>
      </c>
      <c r="P134" s="36">
        <f>N134/M134*100</f>
        <v>116.21374805612245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69"/>
      <c r="O138" s="169"/>
    </row>
    <row r="139" spans="3:15" ht="15.75">
      <c r="C139" s="120">
        <v>41669</v>
      </c>
      <c r="D139" s="39">
        <v>4752.2</v>
      </c>
      <c r="F139" s="4" t="s">
        <v>166</v>
      </c>
      <c r="G139" s="170" t="s">
        <v>151</v>
      </c>
      <c r="H139" s="170"/>
      <c r="I139" s="115">
        <v>13825.22</v>
      </c>
      <c r="J139" s="171" t="s">
        <v>161</v>
      </c>
      <c r="K139" s="171"/>
      <c r="L139" s="171"/>
      <c r="M139" s="171"/>
      <c r="N139" s="169"/>
      <c r="O139" s="16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69"/>
      <c r="O140" s="169"/>
    </row>
    <row r="141" spans="7:13" ht="15.75" customHeight="1">
      <c r="G141" s="170" t="s">
        <v>148</v>
      </c>
      <c r="H141" s="170"/>
      <c r="I141" s="112">
        <v>0</v>
      </c>
      <c r="J141" s="171" t="s">
        <v>163</v>
      </c>
      <c r="K141" s="171"/>
      <c r="L141" s="171"/>
      <c r="M141" s="171"/>
    </row>
    <row r="142" spans="2:13" ht="18.75" customHeight="1">
      <c r="B142" s="183" t="s">
        <v>160</v>
      </c>
      <c r="C142" s="184"/>
      <c r="D142" s="117">
        <v>111410.62</v>
      </c>
      <c r="E142" s="80"/>
      <c r="F142" s="100" t="s">
        <v>147</v>
      </c>
      <c r="G142" s="170" t="s">
        <v>149</v>
      </c>
      <c r="H142" s="170"/>
      <c r="I142" s="116">
        <v>97585.4</v>
      </c>
      <c r="J142" s="171" t="s">
        <v>164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2014-02-18T10:17:12Z</cp:lastPrinted>
  <dcterms:created xsi:type="dcterms:W3CDTF">2003-07-28T11:27:56Z</dcterms:created>
  <dcterms:modified xsi:type="dcterms:W3CDTF">2014-02-18T10:17:47Z</dcterms:modified>
  <cp:category/>
  <cp:version/>
  <cp:contentType/>
  <cp:contentStatus/>
</cp:coreProperties>
</file>